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4.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5.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DFC2" lockStructure="1"/>
  <bookViews>
    <workbookView xWindow="14510" yWindow="-20" windowWidth="14310" windowHeight="11020"/>
  </bookViews>
  <sheets>
    <sheet name="監視サービス登録書" sheetId="1" r:id="rId1"/>
    <sheet name="監視サービス種別" sheetId="5" state="hidden" r:id="rId2"/>
    <sheet name="ﾁｪｯｸｻﾑ" sheetId="7" state="hidden" r:id="rId3"/>
    <sheet name="PCS型名" sheetId="17" state="hidden" r:id="rId4"/>
    <sheet name="監視サービス登録書（記入例）" sheetId="18" r:id="rId5"/>
    <sheet name="データ抽出" sheetId="6" state="hidden" r:id="rId6"/>
    <sheet name="初期点検" sheetId="10" r:id="rId7"/>
    <sheet name="現地初期設定" sheetId="2" r:id="rId8"/>
    <sheet name="遠隔初期設定" sheetId="4" r:id="rId9"/>
  </sheets>
  <definedNames>
    <definedName name="_xlnm._FilterDatabase" localSheetId="5" hidden="1">データ抽出!$A$133:$L$303</definedName>
    <definedName name="_xlnm._FilterDatabase" localSheetId="0" hidden="1">監視サービス登録書!$A$133:$X$303</definedName>
    <definedName name="_xlnm._FilterDatabase" localSheetId="4" hidden="1">'監視サービス登録書（記入例）'!$A$133:$X$303</definedName>
    <definedName name="_xlnm.Print_Area" localSheetId="8">遠隔初期設定!$A$1:$AY$186</definedName>
    <definedName name="_xlnm.Print_Area" localSheetId="1">監視サービス種別!$A$1:$B$25</definedName>
    <definedName name="_xlnm.Print_Area" localSheetId="0">監視サービス登録書!$A$1:$K$330</definedName>
    <definedName name="_xlnm.Print_Area" localSheetId="4">'監視サービス登録書（記入例）'!$A$1:$K$330</definedName>
    <definedName name="_xlnm.Print_Area" localSheetId="7">現地初期設定!$A$1:$H$127</definedName>
    <definedName name="_xlnm.Print_Area" localSheetId="6">初期点検!$A$1:$G$42</definedName>
    <definedName name="_xlnm.Print_Titles" localSheetId="0">監視サービス登録書!$12:$12</definedName>
    <definedName name="_xlnm.Print_Titles" localSheetId="4">'監視サービス登録書（記入例）'!$12:$12</definedName>
  </definedNames>
  <calcPr calcId="145621"/>
</workbook>
</file>

<file path=xl/calcChain.xml><?xml version="1.0" encoding="utf-8"?>
<calcChain xmlns="http://schemas.openxmlformats.org/spreadsheetml/2006/main">
  <c r="J279" i="18" l="1"/>
  <c r="J274" i="18"/>
  <c r="J269" i="18"/>
  <c r="J264" i="18"/>
  <c r="J259" i="18"/>
  <c r="J254" i="18"/>
  <c r="J249" i="18"/>
  <c r="J244" i="18"/>
  <c r="J239" i="18"/>
  <c r="J234" i="18"/>
  <c r="J229" i="18"/>
  <c r="J224" i="18"/>
  <c r="J219" i="18"/>
  <c r="J214" i="18"/>
  <c r="J209" i="18"/>
  <c r="J204" i="18"/>
  <c r="J199" i="18"/>
  <c r="J194" i="18"/>
  <c r="J189" i="18"/>
  <c r="J184" i="18"/>
  <c r="J179" i="18"/>
  <c r="J174" i="18"/>
  <c r="J169" i="18"/>
  <c r="J164" i="18"/>
  <c r="J159" i="18"/>
  <c r="J154" i="18"/>
  <c r="J149" i="18"/>
  <c r="J144" i="18"/>
  <c r="J283" i="18"/>
  <c r="J278" i="18"/>
  <c r="J273" i="18"/>
  <c r="J268" i="18"/>
  <c r="J263" i="18"/>
  <c r="J258" i="18"/>
  <c r="J253" i="18"/>
  <c r="J248" i="18"/>
  <c r="J243" i="18"/>
  <c r="J238" i="18"/>
  <c r="J233" i="18"/>
  <c r="J228" i="18"/>
  <c r="J223" i="18"/>
  <c r="J218" i="18"/>
  <c r="J213" i="18"/>
  <c r="J208" i="18"/>
  <c r="J203" i="18"/>
  <c r="J198" i="18"/>
  <c r="J193" i="18"/>
  <c r="J188" i="18"/>
  <c r="J183" i="18"/>
  <c r="J178" i="18"/>
  <c r="J173" i="18"/>
  <c r="J168" i="18"/>
  <c r="J163" i="18"/>
  <c r="J158" i="18"/>
  <c r="J153" i="18"/>
  <c r="J148" i="18"/>
  <c r="J143" i="18"/>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J303" i="18"/>
  <c r="J301" i="18"/>
  <c r="J300" i="18"/>
  <c r="J299" i="18"/>
  <c r="J298" i="18"/>
  <c r="J297" i="18"/>
  <c r="J296" i="18"/>
  <c r="K283" i="18"/>
  <c r="B283" i="18"/>
  <c r="A283" i="18"/>
  <c r="B282" i="18"/>
  <c r="A282" i="18"/>
  <c r="K282" i="18" s="1"/>
  <c r="G281" i="18"/>
  <c r="B281" i="18"/>
  <c r="A281" i="18"/>
  <c r="K281" i="18" s="1"/>
  <c r="J280" i="18"/>
  <c r="I280" i="18"/>
  <c r="B280" i="18"/>
  <c r="A280" i="18"/>
  <c r="K280" i="18" s="1"/>
  <c r="B279" i="18"/>
  <c r="A279" i="18"/>
  <c r="K279" i="18" s="1"/>
  <c r="B278" i="18"/>
  <c r="A278" i="18"/>
  <c r="K278" i="18" s="1"/>
  <c r="B277" i="18"/>
  <c r="A277" i="18"/>
  <c r="K277" i="18" s="1"/>
  <c r="G276" i="18"/>
  <c r="E276" i="18"/>
  <c r="C276" i="18"/>
  <c r="B276" i="18"/>
  <c r="A276" i="18"/>
  <c r="K276" i="18" s="1"/>
  <c r="J275" i="18"/>
  <c r="B275" i="18"/>
  <c r="I275" i="18" s="1"/>
  <c r="A275" i="18"/>
  <c r="K275" i="18" s="1"/>
  <c r="B274" i="18"/>
  <c r="A274" i="18"/>
  <c r="K274" i="18" s="1"/>
  <c r="B273" i="18"/>
  <c r="A273" i="18"/>
  <c r="K273" i="18" s="1"/>
  <c r="B272" i="18"/>
  <c r="A272" i="18"/>
  <c r="K272" i="18" s="1"/>
  <c r="K271" i="18"/>
  <c r="E271" i="18"/>
  <c r="C271" i="18"/>
  <c r="B271" i="18"/>
  <c r="A271" i="18"/>
  <c r="J270" i="18"/>
  <c r="I270" i="18"/>
  <c r="B270" i="18"/>
  <c r="A270" i="18"/>
  <c r="K270" i="18" s="1"/>
  <c r="B269" i="18"/>
  <c r="A269" i="18"/>
  <c r="K269" i="18" s="1"/>
  <c r="B268" i="18"/>
  <c r="A268" i="18"/>
  <c r="K268" i="18" s="1"/>
  <c r="B267" i="18"/>
  <c r="A267" i="18"/>
  <c r="K267" i="18" s="1"/>
  <c r="K266" i="18"/>
  <c r="B266" i="18"/>
  <c r="A266" i="18"/>
  <c r="J265" i="18"/>
  <c r="I265" i="18"/>
  <c r="B265" i="18"/>
  <c r="A265" i="18"/>
  <c r="K265" i="18" s="1"/>
  <c r="B264" i="18"/>
  <c r="A264" i="18"/>
  <c r="K264" i="18" s="1"/>
  <c r="K263" i="18"/>
  <c r="B263" i="18"/>
  <c r="A263" i="18"/>
  <c r="B262" i="18"/>
  <c r="A262" i="18"/>
  <c r="K262" i="18" s="1"/>
  <c r="G261" i="18"/>
  <c r="B261" i="18"/>
  <c r="A261" i="18"/>
  <c r="K261" i="18" s="1"/>
  <c r="J260" i="18"/>
  <c r="I260" i="18"/>
  <c r="B260" i="18"/>
  <c r="A260" i="18"/>
  <c r="K260" i="18" s="1"/>
  <c r="B259" i="18"/>
  <c r="A259" i="18"/>
  <c r="K259" i="18" s="1"/>
  <c r="B258" i="18"/>
  <c r="A258" i="18"/>
  <c r="K258" i="18" s="1"/>
  <c r="K257" i="18"/>
  <c r="B257" i="18"/>
  <c r="A257" i="18"/>
  <c r="G256" i="18"/>
  <c r="E256" i="18"/>
  <c r="C256" i="18"/>
  <c r="B256" i="18"/>
  <c r="A256" i="18"/>
  <c r="K256" i="18" s="1"/>
  <c r="J255" i="18"/>
  <c r="B255" i="18"/>
  <c r="I255" i="18" s="1"/>
  <c r="A255" i="18"/>
  <c r="K255" i="18" s="1"/>
  <c r="B254" i="18"/>
  <c r="A254" i="18"/>
  <c r="K254" i="18" s="1"/>
  <c r="B253" i="18"/>
  <c r="A253" i="18"/>
  <c r="K253" i="18" s="1"/>
  <c r="B252" i="18"/>
  <c r="A252" i="18"/>
  <c r="K252" i="18" s="1"/>
  <c r="K251" i="18"/>
  <c r="E251" i="18"/>
  <c r="C251" i="18"/>
  <c r="B251" i="18"/>
  <c r="A251" i="18"/>
  <c r="J250" i="18"/>
  <c r="I250" i="18"/>
  <c r="B250" i="18"/>
  <c r="A250" i="18"/>
  <c r="K250" i="18" s="1"/>
  <c r="K249" i="18"/>
  <c r="B249" i="18"/>
  <c r="A249" i="18"/>
  <c r="B248" i="18"/>
  <c r="A248" i="18"/>
  <c r="K248" i="18" s="1"/>
  <c r="B247" i="18"/>
  <c r="A247" i="18"/>
  <c r="K247" i="18" s="1"/>
  <c r="K246" i="18"/>
  <c r="B246" i="18"/>
  <c r="A246" i="18"/>
  <c r="J245" i="18"/>
  <c r="I245" i="18"/>
  <c r="B245" i="18"/>
  <c r="A245" i="18"/>
  <c r="K245" i="18" s="1"/>
  <c r="B244" i="18"/>
  <c r="A244" i="18"/>
  <c r="K244" i="18" s="1"/>
  <c r="B243" i="18"/>
  <c r="A243" i="18"/>
  <c r="K243" i="18" s="1"/>
  <c r="B242" i="18"/>
  <c r="A242" i="18"/>
  <c r="K242" i="18" s="1"/>
  <c r="B241" i="18"/>
  <c r="A241" i="18"/>
  <c r="K241" i="18" s="1"/>
  <c r="J240" i="18"/>
  <c r="B240" i="18"/>
  <c r="I240" i="18" s="1"/>
  <c r="A240" i="18"/>
  <c r="K240" i="18" s="1"/>
  <c r="B239" i="18"/>
  <c r="A239" i="18"/>
  <c r="K239" i="18" s="1"/>
  <c r="B238" i="18"/>
  <c r="A238" i="18"/>
  <c r="K238" i="18" s="1"/>
  <c r="K237" i="18"/>
  <c r="B237" i="18"/>
  <c r="A237" i="18"/>
  <c r="G236" i="18"/>
  <c r="E236" i="18"/>
  <c r="C236" i="18"/>
  <c r="B236" i="18"/>
  <c r="A236" i="18"/>
  <c r="K236" i="18" s="1"/>
  <c r="K235" i="18"/>
  <c r="J235" i="18"/>
  <c r="B235" i="18"/>
  <c r="I235" i="18" s="1"/>
  <c r="A235" i="18"/>
  <c r="B234" i="18"/>
  <c r="A234" i="18"/>
  <c r="K234" i="18" s="1"/>
  <c r="B233" i="18"/>
  <c r="A233" i="18"/>
  <c r="K233" i="18" s="1"/>
  <c r="B232" i="18"/>
  <c r="A232" i="18"/>
  <c r="K232" i="18" s="1"/>
  <c r="K231" i="18"/>
  <c r="E231" i="18"/>
  <c r="C231" i="18"/>
  <c r="B231" i="18"/>
  <c r="A231" i="18"/>
  <c r="J230" i="18"/>
  <c r="I230" i="18"/>
  <c r="B230" i="18"/>
  <c r="A230" i="18"/>
  <c r="K230" i="18" s="1"/>
  <c r="K229" i="18"/>
  <c r="B229" i="18"/>
  <c r="A229" i="18"/>
  <c r="B228" i="18"/>
  <c r="A228" i="18"/>
  <c r="K228" i="18" s="1"/>
  <c r="B227" i="18"/>
  <c r="A227" i="18"/>
  <c r="K227" i="18" s="1"/>
  <c r="K226" i="18"/>
  <c r="C226" i="18"/>
  <c r="B226" i="18"/>
  <c r="A226" i="18"/>
  <c r="J225" i="18"/>
  <c r="I225" i="18"/>
  <c r="B225" i="18"/>
  <c r="A225" i="18"/>
  <c r="K225" i="18" s="1"/>
  <c r="B224" i="18"/>
  <c r="A224" i="18"/>
  <c r="K224" i="18" s="1"/>
  <c r="B223" i="18"/>
  <c r="A223" i="18"/>
  <c r="K223" i="18" s="1"/>
  <c r="B222" i="18"/>
  <c r="A222" i="18"/>
  <c r="K222" i="18" s="1"/>
  <c r="B221" i="18"/>
  <c r="A221" i="18"/>
  <c r="K221" i="18" s="1"/>
  <c r="J220" i="18"/>
  <c r="B220" i="18"/>
  <c r="I220" i="18" s="1"/>
  <c r="A220" i="18"/>
  <c r="K220" i="18" s="1"/>
  <c r="B219" i="18"/>
  <c r="A219" i="18"/>
  <c r="K219" i="18" s="1"/>
  <c r="B218" i="18"/>
  <c r="A218" i="18"/>
  <c r="K218" i="18" s="1"/>
  <c r="B217" i="18"/>
  <c r="A217" i="18"/>
  <c r="K217" i="18" s="1"/>
  <c r="G216" i="18"/>
  <c r="E216" i="18"/>
  <c r="C216" i="18"/>
  <c r="B216" i="18"/>
  <c r="A216" i="18"/>
  <c r="K216" i="18" s="1"/>
  <c r="K215" i="18"/>
  <c r="J215" i="18"/>
  <c r="B215" i="18"/>
  <c r="I215" i="18" s="1"/>
  <c r="A215" i="18"/>
  <c r="B214" i="18"/>
  <c r="A214" i="18"/>
  <c r="K214" i="18" s="1"/>
  <c r="B213" i="18"/>
  <c r="A213" i="18"/>
  <c r="K213" i="18" s="1"/>
  <c r="B212" i="18"/>
  <c r="A212" i="18"/>
  <c r="K212" i="18" s="1"/>
  <c r="K211" i="18"/>
  <c r="E211" i="18"/>
  <c r="C211" i="18"/>
  <c r="B211" i="18"/>
  <c r="A211" i="18"/>
  <c r="J210" i="18"/>
  <c r="I210" i="18"/>
  <c r="B210" i="18"/>
  <c r="A210" i="18"/>
  <c r="K210" i="18" s="1"/>
  <c r="B209" i="18"/>
  <c r="A209" i="18"/>
  <c r="K209" i="18" s="1"/>
  <c r="B208" i="18"/>
  <c r="A208" i="18"/>
  <c r="K208" i="18" s="1"/>
  <c r="B207" i="18"/>
  <c r="A207" i="18"/>
  <c r="K207" i="18" s="1"/>
  <c r="K206" i="18"/>
  <c r="C206" i="18"/>
  <c r="B206" i="18"/>
  <c r="A206" i="18"/>
  <c r="J205" i="18"/>
  <c r="I205" i="18"/>
  <c r="B205" i="18"/>
  <c r="A205" i="18"/>
  <c r="K205" i="18" s="1"/>
  <c r="B204" i="18"/>
  <c r="A204" i="18"/>
  <c r="K204" i="18" s="1"/>
  <c r="K203" i="18"/>
  <c r="B203" i="18"/>
  <c r="A203" i="18"/>
  <c r="B202" i="18"/>
  <c r="A202" i="18"/>
  <c r="K202" i="18" s="1"/>
  <c r="G201" i="18"/>
  <c r="B201" i="18"/>
  <c r="A201" i="18"/>
  <c r="K201" i="18" s="1"/>
  <c r="J200" i="18"/>
  <c r="I200" i="18"/>
  <c r="B200" i="18"/>
  <c r="A200" i="18"/>
  <c r="K200" i="18" s="1"/>
  <c r="B199" i="18"/>
  <c r="A199" i="18"/>
  <c r="K199" i="18" s="1"/>
  <c r="B198" i="18"/>
  <c r="A198" i="18"/>
  <c r="K198" i="18" s="1"/>
  <c r="B197" i="18"/>
  <c r="A197" i="18"/>
  <c r="K197" i="18" s="1"/>
  <c r="G196" i="18"/>
  <c r="E196" i="18"/>
  <c r="C196" i="18"/>
  <c r="B196" i="18"/>
  <c r="A196" i="18"/>
  <c r="K196" i="18" s="1"/>
  <c r="J195" i="18"/>
  <c r="B195" i="18"/>
  <c r="I195" i="18" s="1"/>
  <c r="A195" i="18"/>
  <c r="K195" i="18" s="1"/>
  <c r="B194" i="18"/>
  <c r="A194" i="18"/>
  <c r="K194" i="18" s="1"/>
  <c r="B193" i="18"/>
  <c r="A193" i="18"/>
  <c r="K193" i="18" s="1"/>
  <c r="B192" i="18"/>
  <c r="A192" i="18"/>
  <c r="K192" i="18" s="1"/>
  <c r="K191" i="18"/>
  <c r="E191" i="18"/>
  <c r="C191" i="18"/>
  <c r="B191" i="18"/>
  <c r="A191" i="18"/>
  <c r="J190" i="18"/>
  <c r="I190" i="18"/>
  <c r="B190" i="18"/>
  <c r="A190" i="18"/>
  <c r="K190" i="18" s="1"/>
  <c r="B189" i="18"/>
  <c r="A189" i="18"/>
  <c r="K189" i="18" s="1"/>
  <c r="B188" i="18"/>
  <c r="A188" i="18"/>
  <c r="K188" i="18" s="1"/>
  <c r="B187" i="18"/>
  <c r="A187" i="18"/>
  <c r="K187" i="18" s="1"/>
  <c r="G186" i="18"/>
  <c r="C186" i="18"/>
  <c r="B186" i="18"/>
  <c r="E186" i="18" s="1"/>
  <c r="A186" i="18"/>
  <c r="K186" i="18" s="1"/>
  <c r="J185" i="18"/>
  <c r="I185" i="18"/>
  <c r="B185" i="18"/>
  <c r="A185" i="18"/>
  <c r="K185" i="18" s="1"/>
  <c r="B184" i="18"/>
  <c r="A184" i="18"/>
  <c r="K184" i="18" s="1"/>
  <c r="B183" i="18"/>
  <c r="A183" i="18"/>
  <c r="K183" i="18" s="1"/>
  <c r="B182" i="18"/>
  <c r="A182" i="18"/>
  <c r="K182" i="18" s="1"/>
  <c r="G181" i="18"/>
  <c r="E181" i="18"/>
  <c r="B181" i="18"/>
  <c r="C181" i="18" s="1"/>
  <c r="A181" i="18"/>
  <c r="K181" i="18" s="1"/>
  <c r="J180" i="18"/>
  <c r="I180" i="18"/>
  <c r="B180" i="18"/>
  <c r="A180" i="18"/>
  <c r="K180" i="18" s="1"/>
  <c r="B179" i="18"/>
  <c r="A179" i="18"/>
  <c r="K179" i="18" s="1"/>
  <c r="B178" i="18"/>
  <c r="A178" i="18"/>
  <c r="K178" i="18" s="1"/>
  <c r="B177" i="18"/>
  <c r="A177" i="18"/>
  <c r="K177" i="18" s="1"/>
  <c r="K176" i="18"/>
  <c r="G176" i="18"/>
  <c r="E176" i="18"/>
  <c r="C176" i="18"/>
  <c r="B176" i="18"/>
  <c r="A176" i="18"/>
  <c r="K175" i="18"/>
  <c r="J175" i="18"/>
  <c r="B175" i="18"/>
  <c r="I175" i="18" s="1"/>
  <c r="A175" i="18"/>
  <c r="B174" i="18"/>
  <c r="A174" i="18"/>
  <c r="K174" i="18" s="1"/>
  <c r="B173" i="18"/>
  <c r="A173" i="18"/>
  <c r="K173" i="18" s="1"/>
  <c r="B172" i="18"/>
  <c r="A172" i="18"/>
  <c r="K172" i="18" s="1"/>
  <c r="K171" i="18"/>
  <c r="E171" i="18"/>
  <c r="C171" i="18"/>
  <c r="B171" i="18"/>
  <c r="G171" i="18" s="1"/>
  <c r="A171" i="18"/>
  <c r="J170" i="18"/>
  <c r="I170" i="18"/>
  <c r="B170" i="18"/>
  <c r="A170" i="18"/>
  <c r="K170" i="18" s="1"/>
  <c r="K169" i="18"/>
  <c r="B169" i="18"/>
  <c r="A169" i="18"/>
  <c r="B168" i="18"/>
  <c r="A168" i="18"/>
  <c r="K168" i="18" s="1"/>
  <c r="B167" i="18"/>
  <c r="A167" i="18"/>
  <c r="K167" i="18" s="1"/>
  <c r="K166" i="18"/>
  <c r="G166" i="18"/>
  <c r="C166" i="18"/>
  <c r="B166" i="18"/>
  <c r="E166" i="18" s="1"/>
  <c r="A166" i="18"/>
  <c r="J165" i="18"/>
  <c r="I165" i="18"/>
  <c r="B165" i="18"/>
  <c r="A165" i="18"/>
  <c r="K165" i="18" s="1"/>
  <c r="B164" i="18"/>
  <c r="A164" i="18"/>
  <c r="K164" i="18" s="1"/>
  <c r="K163" i="18"/>
  <c r="B163" i="18"/>
  <c r="A163" i="18"/>
  <c r="B162" i="18"/>
  <c r="A162" i="18"/>
  <c r="K162" i="18" s="1"/>
  <c r="B161" i="18"/>
  <c r="C161" i="18" s="1"/>
  <c r="A161" i="18"/>
  <c r="K161" i="18" s="1"/>
  <c r="J160" i="18"/>
  <c r="I160" i="18"/>
  <c r="B160" i="18"/>
  <c r="A160" i="18"/>
  <c r="K160" i="18" s="1"/>
  <c r="B159" i="18"/>
  <c r="A159" i="18"/>
  <c r="K159" i="18" s="1"/>
  <c r="B158" i="18"/>
  <c r="A158" i="18"/>
  <c r="K158" i="18" s="1"/>
  <c r="K157" i="18"/>
  <c r="B157" i="18"/>
  <c r="A157" i="18"/>
  <c r="K156" i="18"/>
  <c r="G156" i="18"/>
  <c r="E156" i="18"/>
  <c r="C156" i="18"/>
  <c r="B156" i="18"/>
  <c r="A156" i="18"/>
  <c r="J155" i="18"/>
  <c r="B155" i="18"/>
  <c r="I155" i="18" s="1"/>
  <c r="A155" i="18"/>
  <c r="K155" i="18" s="1"/>
  <c r="B154" i="18"/>
  <c r="A154" i="18"/>
  <c r="K154" i="18" s="1"/>
  <c r="B153" i="18"/>
  <c r="A153" i="18"/>
  <c r="K153" i="18" s="1"/>
  <c r="B152" i="18"/>
  <c r="A152" i="18"/>
  <c r="K152" i="18" s="1"/>
  <c r="G151" i="18"/>
  <c r="E151" i="18"/>
  <c r="C151" i="18"/>
  <c r="B151" i="18"/>
  <c r="A151" i="18"/>
  <c r="K151" i="18" s="1"/>
  <c r="J150" i="18"/>
  <c r="B150" i="18"/>
  <c r="I150" i="18" s="1"/>
  <c r="A150" i="18"/>
  <c r="K150" i="18" s="1"/>
  <c r="B149" i="18"/>
  <c r="A149" i="18"/>
  <c r="K149" i="18" s="1"/>
  <c r="B148" i="18"/>
  <c r="A148" i="18"/>
  <c r="K148" i="18" s="1"/>
  <c r="B147" i="18"/>
  <c r="A147" i="18"/>
  <c r="K147" i="18" s="1"/>
  <c r="K146" i="18"/>
  <c r="E146" i="18"/>
  <c r="C146" i="18"/>
  <c r="B146" i="18"/>
  <c r="A146" i="18"/>
  <c r="J145" i="18"/>
  <c r="I145" i="18"/>
  <c r="B145" i="18"/>
  <c r="A145" i="18"/>
  <c r="K145" i="18" s="1"/>
  <c r="B144" i="18"/>
  <c r="A144" i="18"/>
  <c r="K144" i="18" s="1"/>
  <c r="B143" i="18"/>
  <c r="A143" i="18"/>
  <c r="K143" i="18" s="1"/>
  <c r="B142" i="18"/>
  <c r="A142" i="18"/>
  <c r="K142" i="18" s="1"/>
  <c r="K141" i="18"/>
  <c r="B141" i="18"/>
  <c r="G141" i="18" s="1"/>
  <c r="A141" i="18"/>
  <c r="J140" i="18"/>
  <c r="I140" i="18"/>
  <c r="B140" i="18"/>
  <c r="A140" i="18"/>
  <c r="K140" i="18" s="1"/>
  <c r="J139" i="18"/>
  <c r="B139" i="18"/>
  <c r="A139" i="18"/>
  <c r="K139" i="18" s="1"/>
  <c r="B138" i="18"/>
  <c r="A138" i="18"/>
  <c r="K138" i="18" s="1"/>
  <c r="I137" i="18"/>
  <c r="K133" i="18"/>
  <c r="J133" i="18"/>
  <c r="B133" i="18"/>
  <c r="A133" i="18"/>
  <c r="K132" i="18"/>
  <c r="B132" i="18"/>
  <c r="A132" i="18"/>
  <c r="J131" i="18"/>
  <c r="J130" i="18"/>
  <c r="B130" i="18"/>
  <c r="A130" i="18"/>
  <c r="J129" i="18"/>
  <c r="B129" i="18"/>
  <c r="A129" i="18"/>
  <c r="J128" i="18"/>
  <c r="B128" i="18"/>
  <c r="A128" i="18"/>
  <c r="J127" i="18"/>
  <c r="B127" i="18"/>
  <c r="A127" i="18"/>
  <c r="K126" i="18"/>
  <c r="B126" i="18"/>
  <c r="A126" i="18"/>
  <c r="K125" i="18"/>
  <c r="J125" i="18"/>
  <c r="B125" i="18"/>
  <c r="A125" i="18"/>
  <c r="J124" i="18"/>
  <c r="J123" i="18"/>
  <c r="J122" i="18"/>
  <c r="J121" i="18"/>
  <c r="J120" i="18"/>
  <c r="J119" i="18"/>
  <c r="J118" i="18"/>
  <c r="J117" i="18"/>
  <c r="J116" i="18"/>
  <c r="J115" i="18"/>
  <c r="J114" i="18"/>
  <c r="J113" i="18"/>
  <c r="K111" i="18"/>
  <c r="J111" i="18"/>
  <c r="B111" i="18"/>
  <c r="A111" i="18"/>
  <c r="K108" i="18"/>
  <c r="B108" i="18"/>
  <c r="A108" i="18"/>
  <c r="K107" i="18"/>
  <c r="J107" i="18"/>
  <c r="B107" i="18"/>
  <c r="A107" i="18"/>
  <c r="J106" i="18"/>
  <c r="B106" i="18"/>
  <c r="K106" i="18" s="1"/>
  <c r="A106" i="18"/>
  <c r="J105" i="18"/>
  <c r="J103" i="18"/>
  <c r="J102" i="18"/>
  <c r="J101" i="18"/>
  <c r="J95" i="18"/>
  <c r="I95" i="18"/>
  <c r="J94" i="18"/>
  <c r="J93" i="18"/>
  <c r="I92" i="18"/>
  <c r="I89" i="18"/>
  <c r="I86" i="18"/>
  <c r="I83" i="18"/>
  <c r="I80" i="18"/>
  <c r="I77" i="18"/>
  <c r="J71" i="18"/>
  <c r="J70" i="18"/>
  <c r="K69" i="18"/>
  <c r="B69" i="18"/>
  <c r="A69" i="18"/>
  <c r="J68" i="18"/>
  <c r="B68" i="18"/>
  <c r="K68" i="18" s="1"/>
  <c r="A68" i="18"/>
  <c r="J67" i="18"/>
  <c r="B67" i="18"/>
  <c r="K67" i="18" s="1"/>
  <c r="A67" i="18"/>
  <c r="J66" i="18"/>
  <c r="J64" i="18"/>
  <c r="J63" i="18"/>
  <c r="J62" i="18"/>
  <c r="J61" i="18"/>
  <c r="J60" i="18"/>
  <c r="J59" i="18"/>
  <c r="J58" i="18"/>
  <c r="J57" i="18"/>
  <c r="J56" i="18"/>
  <c r="J53" i="18"/>
  <c r="J52" i="18"/>
  <c r="J51" i="18"/>
  <c r="J49" i="18"/>
  <c r="B49" i="18"/>
  <c r="A49" i="18"/>
  <c r="K48" i="18"/>
  <c r="J48" i="18"/>
  <c r="B48" i="18"/>
  <c r="A48" i="18"/>
  <c r="K47" i="18"/>
  <c r="J47" i="18"/>
  <c r="B47" i="18"/>
  <c r="A47" i="18"/>
  <c r="K46" i="18"/>
  <c r="J46" i="18"/>
  <c r="B46" i="18"/>
  <c r="A46" i="18"/>
  <c r="K45" i="18"/>
  <c r="J45" i="18"/>
  <c r="B45" i="18"/>
  <c r="A45" i="18"/>
  <c r="K44" i="18"/>
  <c r="J44" i="18"/>
  <c r="B44" i="18"/>
  <c r="A44" i="18"/>
  <c r="J43" i="18"/>
  <c r="B43" i="18"/>
  <c r="A43" i="18"/>
  <c r="K42" i="18"/>
  <c r="J42" i="18"/>
  <c r="B42" i="18"/>
  <c r="A42" i="18"/>
  <c r="K41" i="18"/>
  <c r="B41" i="18"/>
  <c r="A41" i="18"/>
  <c r="K40" i="18"/>
  <c r="B40" i="18"/>
  <c r="A40" i="18"/>
  <c r="J39" i="18"/>
  <c r="J37" i="18"/>
  <c r="J36" i="18"/>
  <c r="J35" i="18"/>
  <c r="J34" i="18"/>
  <c r="J33" i="18"/>
  <c r="J32" i="18"/>
  <c r="J31" i="18"/>
  <c r="J30" i="18"/>
  <c r="K21" i="18"/>
  <c r="B21" i="18"/>
  <c r="A21" i="18"/>
  <c r="K17" i="18"/>
  <c r="B17" i="18"/>
  <c r="A17" i="18"/>
  <c r="G266" i="18" l="1"/>
  <c r="E266" i="18"/>
  <c r="E161" i="18"/>
  <c r="E221" i="18"/>
  <c r="C221" i="18"/>
  <c r="G241" i="18"/>
  <c r="G246" i="18"/>
  <c r="E246" i="18"/>
  <c r="C266" i="18"/>
  <c r="E141" i="18"/>
  <c r="G146" i="18"/>
  <c r="G161" i="18"/>
  <c r="E201" i="18"/>
  <c r="C201" i="18"/>
  <c r="G221" i="18"/>
  <c r="G226" i="18"/>
  <c r="E226" i="18"/>
  <c r="C246" i="18"/>
  <c r="E281" i="18"/>
  <c r="C281" i="18"/>
  <c r="E241" i="18"/>
  <c r="C241" i="18"/>
  <c r="C141" i="18"/>
  <c r="G206" i="18"/>
  <c r="E206" i="18"/>
  <c r="E261" i="18"/>
  <c r="C261" i="18"/>
  <c r="G191" i="18"/>
  <c r="G211" i="18"/>
  <c r="G231" i="18"/>
  <c r="G251" i="18"/>
  <c r="G271" i="18"/>
  <c r="E94" i="6" l="1"/>
  <c r="I94" i="18" s="1"/>
  <c r="E93" i="6"/>
  <c r="I93" i="18" s="1"/>
  <c r="E91" i="6"/>
  <c r="I91" i="18" s="1"/>
  <c r="E90" i="6"/>
  <c r="I90" i="18" s="1"/>
  <c r="E88" i="6"/>
  <c r="I88" i="18" s="1"/>
  <c r="E87" i="6"/>
  <c r="I87" i="18" s="1"/>
  <c r="E85" i="6"/>
  <c r="I85" i="18" s="1"/>
  <c r="E84" i="6"/>
  <c r="I84" i="18" s="1"/>
  <c r="E82" i="6"/>
  <c r="I82" i="18" s="1"/>
  <c r="E81" i="6"/>
  <c r="I81" i="18" s="1"/>
  <c r="E79" i="6"/>
  <c r="I79" i="18" s="1"/>
  <c r="E78" i="6"/>
  <c r="I78" i="18" s="1"/>
  <c r="E76" i="6"/>
  <c r="I76" i="18" s="1"/>
  <c r="E75" i="6"/>
  <c r="I75" i="18" s="1"/>
  <c r="B283" i="1" l="1"/>
  <c r="B278" i="1"/>
  <c r="B273" i="1"/>
  <c r="B268" i="1"/>
  <c r="B263" i="1"/>
  <c r="B258" i="1"/>
  <c r="B253" i="1"/>
  <c r="B248" i="1"/>
  <c r="B243" i="1"/>
  <c r="B238" i="1"/>
  <c r="B233" i="1"/>
  <c r="B228" i="1"/>
  <c r="B223" i="1"/>
  <c r="B218" i="1"/>
  <c r="B213" i="1"/>
  <c r="B208" i="1"/>
  <c r="B203" i="1"/>
  <c r="B198" i="1"/>
  <c r="B193" i="1"/>
  <c r="B188" i="1"/>
  <c r="B183" i="1"/>
  <c r="B178" i="1"/>
  <c r="B173" i="1"/>
  <c r="B168" i="1"/>
  <c r="B163" i="1"/>
  <c r="B158" i="1"/>
  <c r="B153" i="1"/>
  <c r="B148" i="1"/>
  <c r="B143" i="1"/>
  <c r="B138" i="1"/>
  <c r="A283" i="1"/>
  <c r="A278" i="1"/>
  <c r="A273" i="1"/>
  <c r="A268" i="1"/>
  <c r="A263" i="1"/>
  <c r="A258" i="1"/>
  <c r="A253" i="1"/>
  <c r="A248" i="1"/>
  <c r="A243" i="1"/>
  <c r="A238" i="1"/>
  <c r="A233" i="1"/>
  <c r="A228" i="1"/>
  <c r="A223" i="1"/>
  <c r="A218" i="1"/>
  <c r="A213" i="1"/>
  <c r="A208" i="1"/>
  <c r="A203" i="1"/>
  <c r="A198" i="1"/>
  <c r="A193" i="1"/>
  <c r="A188" i="1"/>
  <c r="A183" i="1"/>
  <c r="A178" i="1"/>
  <c r="A173" i="1"/>
  <c r="A168" i="1"/>
  <c r="A163" i="1"/>
  <c r="A158" i="1"/>
  <c r="A153" i="1"/>
  <c r="A148" i="1"/>
  <c r="A143" i="1"/>
  <c r="A138" i="1"/>
  <c r="K132" i="1" l="1"/>
  <c r="K138" i="1"/>
  <c r="K143" i="1"/>
  <c r="K283" i="1"/>
  <c r="K278" i="1"/>
  <c r="K273" i="1"/>
  <c r="K268" i="1"/>
  <c r="K263" i="1"/>
  <c r="K258" i="1"/>
  <c r="K253" i="1"/>
  <c r="K248" i="1"/>
  <c r="K243" i="1"/>
  <c r="K238" i="1"/>
  <c r="K233" i="1"/>
  <c r="K228" i="1"/>
  <c r="K223" i="1"/>
  <c r="K218" i="1"/>
  <c r="K213" i="1"/>
  <c r="K208" i="1"/>
  <c r="K203" i="1"/>
  <c r="K198" i="1"/>
  <c r="K193" i="1"/>
  <c r="K188" i="1"/>
  <c r="K183" i="1"/>
  <c r="K178" i="1"/>
  <c r="K173" i="1"/>
  <c r="K168" i="1"/>
  <c r="K163" i="1"/>
  <c r="K158" i="1"/>
  <c r="K153" i="1"/>
  <c r="K148" i="1"/>
  <c r="E281" i="6" l="1"/>
  <c r="I281" i="18" s="1"/>
  <c r="E276" i="6"/>
  <c r="I276" i="18" s="1"/>
  <c r="E271" i="6"/>
  <c r="I271" i="18" s="1"/>
  <c r="E266" i="6"/>
  <c r="I266" i="18" s="1"/>
  <c r="E261" i="6"/>
  <c r="I261" i="18" s="1"/>
  <c r="E256" i="6"/>
  <c r="I256" i="18" s="1"/>
  <c r="E251" i="6"/>
  <c r="I251" i="18" s="1"/>
  <c r="E246" i="6"/>
  <c r="I246" i="18" s="1"/>
  <c r="E241" i="6"/>
  <c r="I241" i="18" s="1"/>
  <c r="E236" i="6"/>
  <c r="I236" i="18" s="1"/>
  <c r="E231" i="6"/>
  <c r="I231" i="18" s="1"/>
  <c r="E226" i="6"/>
  <c r="I226" i="18" s="1"/>
  <c r="E221" i="6"/>
  <c r="I221" i="18" s="1"/>
  <c r="E216" i="6"/>
  <c r="I216" i="18" s="1"/>
  <c r="E211" i="6"/>
  <c r="I211" i="18" s="1"/>
  <c r="E206" i="6"/>
  <c r="I206" i="18" s="1"/>
  <c r="E201" i="6"/>
  <c r="I201" i="18" s="1"/>
  <c r="E196" i="6"/>
  <c r="I196" i="18" s="1"/>
  <c r="E191" i="6"/>
  <c r="I191" i="18" s="1"/>
  <c r="E186" i="6"/>
  <c r="I186" i="18" s="1"/>
  <c r="E181" i="6"/>
  <c r="I181" i="18" s="1"/>
  <c r="E176" i="6"/>
  <c r="I176" i="18" s="1"/>
  <c r="E171" i="6"/>
  <c r="I171" i="18" s="1"/>
  <c r="E166" i="6"/>
  <c r="I166" i="18" s="1"/>
  <c r="E161" i="6"/>
  <c r="I161" i="18" s="1"/>
  <c r="E156" i="6"/>
  <c r="I156" i="18" s="1"/>
  <c r="E151" i="6"/>
  <c r="I151" i="18" s="1"/>
  <c r="E146" i="6"/>
  <c r="I146" i="18" s="1"/>
  <c r="E141" i="6"/>
  <c r="I141" i="18" s="1"/>
  <c r="E136" i="6"/>
  <c r="I136" i="18" s="1"/>
  <c r="K48" i="1"/>
  <c r="K47" i="1"/>
  <c r="K46" i="1"/>
  <c r="K45" i="1"/>
  <c r="K44" i="1"/>
  <c r="K42" i="1"/>
  <c r="K41" i="1"/>
  <c r="K40" i="1"/>
  <c r="B49" i="1"/>
  <c r="B48" i="1"/>
  <c r="B47" i="1"/>
  <c r="B46" i="1"/>
  <c r="B45" i="1"/>
  <c r="B44" i="1"/>
  <c r="B43" i="1"/>
  <c r="B42" i="1"/>
  <c r="B41" i="1"/>
  <c r="A49" i="1"/>
  <c r="A48" i="1"/>
  <c r="A47" i="1"/>
  <c r="A46" i="1"/>
  <c r="A45" i="1"/>
  <c r="A44" i="1"/>
  <c r="A43" i="1"/>
  <c r="A42" i="1"/>
  <c r="A41" i="1"/>
  <c r="A40" i="1"/>
  <c r="B40" i="1"/>
  <c r="K133" i="1"/>
  <c r="B133" i="1"/>
  <c r="A133" i="1"/>
  <c r="B132" i="1"/>
  <c r="A132" i="1"/>
  <c r="K126" i="1"/>
  <c r="B130" i="1"/>
  <c r="B129" i="1"/>
  <c r="B128" i="1"/>
  <c r="B127" i="1"/>
  <c r="B126" i="1"/>
  <c r="A130" i="1"/>
  <c r="A129" i="1"/>
  <c r="A128" i="1"/>
  <c r="A127" i="1"/>
  <c r="A126" i="1"/>
  <c r="K125" i="1"/>
  <c r="B125" i="1"/>
  <c r="A125" i="1"/>
  <c r="E49" i="6"/>
  <c r="E48" i="6"/>
  <c r="E47" i="6"/>
  <c r="E46" i="6"/>
  <c r="E45" i="6"/>
  <c r="E44" i="6"/>
  <c r="E43" i="6"/>
  <c r="E42" i="6"/>
  <c r="E41" i="6"/>
  <c r="E40" i="6"/>
  <c r="E34" i="6"/>
  <c r="E33" i="6"/>
  <c r="K111" i="1"/>
  <c r="A111" i="1"/>
  <c r="B111" i="1"/>
  <c r="E111" i="6"/>
  <c r="K21" i="1"/>
  <c r="B21" i="1"/>
  <c r="E21" i="6"/>
  <c r="A21" i="1"/>
  <c r="E17" i="6"/>
  <c r="I17" i="18" s="1"/>
  <c r="K17" i="1"/>
  <c r="B17" i="1"/>
  <c r="A17" i="1"/>
  <c r="E67" i="6" l="1"/>
  <c r="E298" i="6"/>
  <c r="C130" i="6" l="1"/>
  <c r="C129" i="6"/>
  <c r="C128" i="6"/>
  <c r="C127" i="6"/>
  <c r="B67" i="1"/>
  <c r="K67" i="1" s="1"/>
  <c r="I42" i="1" l="1"/>
  <c r="E73" i="6"/>
  <c r="E72" i="6"/>
  <c r="I72" i="1" l="1"/>
  <c r="I72" i="18"/>
  <c r="I73" i="1"/>
  <c r="I73" i="18"/>
  <c r="E303" i="6"/>
  <c r="E302" i="6"/>
  <c r="E301" i="6"/>
  <c r="E300" i="6"/>
  <c r="E299" i="6"/>
  <c r="E297" i="6"/>
  <c r="A282" i="1" l="1"/>
  <c r="K282" i="1" s="1"/>
  <c r="A281" i="1"/>
  <c r="K281" i="1" s="1"/>
  <c r="A280" i="1"/>
  <c r="K280" i="1" s="1"/>
  <c r="A279" i="1"/>
  <c r="K279" i="1" s="1"/>
  <c r="A277" i="1"/>
  <c r="K277" i="1" s="1"/>
  <c r="A276" i="1"/>
  <c r="K276" i="1" s="1"/>
  <c r="A275" i="1"/>
  <c r="K275" i="1" s="1"/>
  <c r="A274" i="1"/>
  <c r="K274" i="1" s="1"/>
  <c r="A272" i="1"/>
  <c r="K272" i="1" s="1"/>
  <c r="A271" i="1"/>
  <c r="K271" i="1" s="1"/>
  <c r="A270" i="1"/>
  <c r="K270" i="1" s="1"/>
  <c r="A269" i="1"/>
  <c r="K269" i="1" s="1"/>
  <c r="A267" i="1"/>
  <c r="K267" i="1" s="1"/>
  <c r="A266" i="1"/>
  <c r="K266" i="1" s="1"/>
  <c r="A265" i="1"/>
  <c r="K265" i="1" s="1"/>
  <c r="A264" i="1"/>
  <c r="K264" i="1" s="1"/>
  <c r="A262" i="1"/>
  <c r="K262" i="1" s="1"/>
  <c r="A261" i="1"/>
  <c r="K261" i="1" s="1"/>
  <c r="A260" i="1"/>
  <c r="K260" i="1" s="1"/>
  <c r="A259" i="1"/>
  <c r="K259" i="1" s="1"/>
  <c r="A257" i="1"/>
  <c r="K257" i="1" s="1"/>
  <c r="A256" i="1"/>
  <c r="K256" i="1" s="1"/>
  <c r="A255" i="1"/>
  <c r="K255" i="1" s="1"/>
  <c r="A254" i="1"/>
  <c r="K254" i="1" s="1"/>
  <c r="A252" i="1"/>
  <c r="K252" i="1" s="1"/>
  <c r="A251" i="1"/>
  <c r="K251" i="1" s="1"/>
  <c r="A250" i="1"/>
  <c r="K250" i="1" s="1"/>
  <c r="A249" i="1"/>
  <c r="K249" i="1" s="1"/>
  <c r="A247" i="1"/>
  <c r="K247" i="1" s="1"/>
  <c r="A246" i="1"/>
  <c r="K246" i="1" s="1"/>
  <c r="A245" i="1"/>
  <c r="K245" i="1" s="1"/>
  <c r="A244" i="1"/>
  <c r="K244" i="1" s="1"/>
  <c r="A242" i="1"/>
  <c r="K242" i="1" s="1"/>
  <c r="A241" i="1"/>
  <c r="K241" i="1" s="1"/>
  <c r="A240" i="1"/>
  <c r="K240" i="1" s="1"/>
  <c r="A239" i="1"/>
  <c r="K239" i="1" s="1"/>
  <c r="A237" i="1"/>
  <c r="K237" i="1" s="1"/>
  <c r="A236" i="1"/>
  <c r="K236" i="1" s="1"/>
  <c r="A235" i="1"/>
  <c r="K235" i="1" s="1"/>
  <c r="A234" i="1"/>
  <c r="K234" i="1" s="1"/>
  <c r="A232" i="1"/>
  <c r="K232" i="1" s="1"/>
  <c r="A231" i="1"/>
  <c r="K231" i="1" s="1"/>
  <c r="A230" i="1"/>
  <c r="K230" i="1" s="1"/>
  <c r="A229" i="1"/>
  <c r="K229" i="1" s="1"/>
  <c r="A227" i="1"/>
  <c r="K227" i="1" s="1"/>
  <c r="A226" i="1"/>
  <c r="K226" i="1" s="1"/>
  <c r="A225" i="1"/>
  <c r="K225" i="1" s="1"/>
  <c r="A224" i="1"/>
  <c r="K224" i="1" s="1"/>
  <c r="A222" i="1"/>
  <c r="K222" i="1" s="1"/>
  <c r="A221" i="1"/>
  <c r="K221" i="1" s="1"/>
  <c r="A220" i="1"/>
  <c r="K220" i="1" s="1"/>
  <c r="A219" i="1"/>
  <c r="K219" i="1" s="1"/>
  <c r="A217" i="1"/>
  <c r="K217" i="1" s="1"/>
  <c r="A216" i="1"/>
  <c r="K216" i="1" s="1"/>
  <c r="A215" i="1"/>
  <c r="K215" i="1" s="1"/>
  <c r="A214" i="1"/>
  <c r="K214" i="1" s="1"/>
  <c r="A212" i="1"/>
  <c r="K212" i="1" s="1"/>
  <c r="A211" i="1"/>
  <c r="K211" i="1" s="1"/>
  <c r="A210" i="1"/>
  <c r="K210" i="1" s="1"/>
  <c r="A209" i="1"/>
  <c r="K209" i="1" s="1"/>
  <c r="A207" i="1"/>
  <c r="K207" i="1" s="1"/>
  <c r="A206" i="1"/>
  <c r="K206" i="1" s="1"/>
  <c r="A205" i="1"/>
  <c r="K205" i="1" s="1"/>
  <c r="A204" i="1"/>
  <c r="K204" i="1" s="1"/>
  <c r="A202" i="1"/>
  <c r="K202" i="1" s="1"/>
  <c r="A201" i="1"/>
  <c r="K201" i="1" s="1"/>
  <c r="A200" i="1"/>
  <c r="K200" i="1" s="1"/>
  <c r="A199" i="1"/>
  <c r="K199" i="1" s="1"/>
  <c r="A197" i="1"/>
  <c r="K197" i="1" s="1"/>
  <c r="A196" i="1"/>
  <c r="K196" i="1" s="1"/>
  <c r="A195" i="1"/>
  <c r="K195" i="1" s="1"/>
  <c r="A194" i="1"/>
  <c r="K194" i="1" s="1"/>
  <c r="A192" i="1"/>
  <c r="K192" i="1" s="1"/>
  <c r="A191" i="1"/>
  <c r="K191" i="1" s="1"/>
  <c r="A190" i="1"/>
  <c r="K190" i="1" s="1"/>
  <c r="A189" i="1"/>
  <c r="K189" i="1" s="1"/>
  <c r="A187" i="1"/>
  <c r="K187" i="1" s="1"/>
  <c r="A186" i="1"/>
  <c r="K186" i="1" s="1"/>
  <c r="A185" i="1"/>
  <c r="K185" i="1" s="1"/>
  <c r="A184" i="1"/>
  <c r="K184" i="1" s="1"/>
  <c r="A182" i="1"/>
  <c r="K182" i="1" s="1"/>
  <c r="A181" i="1"/>
  <c r="K181" i="1" s="1"/>
  <c r="A180" i="1"/>
  <c r="K180" i="1" s="1"/>
  <c r="A179" i="1"/>
  <c r="K179" i="1" s="1"/>
  <c r="A177" i="1"/>
  <c r="K177" i="1" s="1"/>
  <c r="A176" i="1"/>
  <c r="K176" i="1" s="1"/>
  <c r="A175" i="1"/>
  <c r="K175" i="1" s="1"/>
  <c r="A174" i="1"/>
  <c r="K174" i="1" s="1"/>
  <c r="A172" i="1"/>
  <c r="K172" i="1" s="1"/>
  <c r="A171" i="1"/>
  <c r="K171" i="1" s="1"/>
  <c r="A170" i="1"/>
  <c r="K170" i="1" s="1"/>
  <c r="A169" i="1"/>
  <c r="K169" i="1" s="1"/>
  <c r="A167" i="1"/>
  <c r="K167" i="1" s="1"/>
  <c r="A166" i="1"/>
  <c r="K166" i="1" s="1"/>
  <c r="A165" i="1"/>
  <c r="K165" i="1" s="1"/>
  <c r="A164" i="1"/>
  <c r="K164" i="1" s="1"/>
  <c r="A162" i="1"/>
  <c r="K162" i="1" s="1"/>
  <c r="A161" i="1"/>
  <c r="K161" i="1" s="1"/>
  <c r="A160" i="1"/>
  <c r="K160" i="1" s="1"/>
  <c r="A159" i="1"/>
  <c r="K159" i="1" s="1"/>
  <c r="A157" i="1"/>
  <c r="K157" i="1" s="1"/>
  <c r="A156" i="1"/>
  <c r="K156" i="1" s="1"/>
  <c r="A155" i="1"/>
  <c r="K155" i="1" s="1"/>
  <c r="A154" i="1"/>
  <c r="K154" i="1" s="1"/>
  <c r="A152" i="1"/>
  <c r="K152" i="1" s="1"/>
  <c r="A151" i="1"/>
  <c r="K151" i="1" s="1"/>
  <c r="A150" i="1"/>
  <c r="K150" i="1" s="1"/>
  <c r="A149" i="1"/>
  <c r="K149" i="1" s="1"/>
  <c r="A147" i="1"/>
  <c r="K147" i="1" s="1"/>
  <c r="A146" i="1"/>
  <c r="K146" i="1" s="1"/>
  <c r="A145" i="1"/>
  <c r="K145" i="1" s="1"/>
  <c r="A144" i="1"/>
  <c r="K144" i="1" s="1"/>
  <c r="A142" i="1"/>
  <c r="K142" i="1" s="1"/>
  <c r="A141" i="1"/>
  <c r="K141" i="1" s="1"/>
  <c r="A140" i="1"/>
  <c r="K140" i="1" s="1"/>
  <c r="A139" i="1"/>
  <c r="K139" i="1" s="1"/>
  <c r="B281" i="1"/>
  <c r="I281" i="1" s="1"/>
  <c r="B276" i="1"/>
  <c r="I276" i="1" s="1"/>
  <c r="B271" i="1"/>
  <c r="I271" i="1" s="1"/>
  <c r="B266" i="1"/>
  <c r="I266" i="1" s="1"/>
  <c r="B261" i="1"/>
  <c r="I261" i="1" s="1"/>
  <c r="B256" i="1"/>
  <c r="I256" i="1" s="1"/>
  <c r="B251" i="1"/>
  <c r="I251" i="1" s="1"/>
  <c r="B246" i="1"/>
  <c r="I246" i="1" s="1"/>
  <c r="B241" i="1"/>
  <c r="I241" i="1" s="1"/>
  <c r="B236" i="1"/>
  <c r="I236" i="1" s="1"/>
  <c r="B231" i="1"/>
  <c r="I231" i="1" s="1"/>
  <c r="B226" i="1"/>
  <c r="I226" i="1" s="1"/>
  <c r="B221" i="1"/>
  <c r="I221" i="1" s="1"/>
  <c r="B216" i="1"/>
  <c r="I216" i="1" s="1"/>
  <c r="B211" i="1"/>
  <c r="I211" i="1" s="1"/>
  <c r="B206" i="1"/>
  <c r="I206" i="1" s="1"/>
  <c r="B201" i="1"/>
  <c r="I201" i="1" s="1"/>
  <c r="B196" i="1"/>
  <c r="I196" i="1" s="1"/>
  <c r="B191" i="1"/>
  <c r="I191" i="1" s="1"/>
  <c r="B186" i="1"/>
  <c r="I186" i="1" s="1"/>
  <c r="B181" i="1"/>
  <c r="I181" i="1" s="1"/>
  <c r="B176" i="1"/>
  <c r="I176" i="1" s="1"/>
  <c r="B171" i="1"/>
  <c r="I171" i="1" s="1"/>
  <c r="B166" i="1"/>
  <c r="I166" i="1" s="1"/>
  <c r="B161" i="1"/>
  <c r="I161" i="1" s="1"/>
  <c r="B156" i="1"/>
  <c r="I156" i="1" s="1"/>
  <c r="B151" i="1"/>
  <c r="I151" i="1" s="1"/>
  <c r="B146" i="1"/>
  <c r="I146" i="1" s="1"/>
  <c r="B141" i="1"/>
  <c r="I141" i="1" s="1"/>
  <c r="C141" i="6"/>
  <c r="E181" i="1" l="1"/>
  <c r="E221" i="1"/>
  <c r="E261" i="1"/>
  <c r="G146" i="1"/>
  <c r="E186" i="1"/>
  <c r="E226" i="1"/>
  <c r="E246" i="1"/>
  <c r="C151" i="1"/>
  <c r="E156" i="1"/>
  <c r="E161" i="1"/>
  <c r="E201" i="1"/>
  <c r="E241" i="1"/>
  <c r="E281" i="1"/>
  <c r="E166" i="1"/>
  <c r="E206" i="1"/>
  <c r="E266" i="1"/>
  <c r="G226" i="1"/>
  <c r="G246" i="1"/>
  <c r="G166" i="1"/>
  <c r="G206" i="1"/>
  <c r="G186" i="1"/>
  <c r="G266" i="1"/>
  <c r="C161" i="1"/>
  <c r="C181" i="1"/>
  <c r="C201" i="1"/>
  <c r="C221" i="1"/>
  <c r="C261" i="1"/>
  <c r="C281" i="1"/>
  <c r="C241" i="1"/>
  <c r="G151" i="1"/>
  <c r="G171" i="1"/>
  <c r="G251" i="1"/>
  <c r="C156" i="1"/>
  <c r="C236" i="1"/>
  <c r="C256" i="1"/>
  <c r="E151" i="1"/>
  <c r="G156" i="1"/>
  <c r="C166" i="1"/>
  <c r="E171" i="1"/>
  <c r="G176" i="1"/>
  <c r="C186" i="1"/>
  <c r="E191" i="1"/>
  <c r="G196" i="1"/>
  <c r="C206" i="1"/>
  <c r="E211" i="1"/>
  <c r="G216" i="1"/>
  <c r="C226" i="1"/>
  <c r="E231" i="1"/>
  <c r="G236" i="1"/>
  <c r="C246" i="1"/>
  <c r="E251" i="1"/>
  <c r="G256" i="1"/>
  <c r="C266" i="1"/>
  <c r="E271" i="1"/>
  <c r="G276" i="1"/>
  <c r="G191" i="1"/>
  <c r="G211" i="1"/>
  <c r="G231" i="1"/>
  <c r="G271" i="1"/>
  <c r="C176" i="1"/>
  <c r="C196" i="1"/>
  <c r="C216" i="1"/>
  <c r="C276" i="1"/>
  <c r="G161" i="1"/>
  <c r="C171" i="1"/>
  <c r="E176" i="1"/>
  <c r="G181" i="1"/>
  <c r="C191" i="1"/>
  <c r="E196" i="1"/>
  <c r="G201" i="1"/>
  <c r="C211" i="1"/>
  <c r="E216" i="1"/>
  <c r="G221" i="1"/>
  <c r="C231" i="1"/>
  <c r="E236" i="1"/>
  <c r="G241" i="1"/>
  <c r="C251" i="1"/>
  <c r="E256" i="1"/>
  <c r="G261" i="1"/>
  <c r="C271" i="1"/>
  <c r="E276" i="1"/>
  <c r="G281" i="1"/>
  <c r="C146" i="1"/>
  <c r="E146" i="1"/>
  <c r="E108" i="6"/>
  <c r="E107" i="6"/>
  <c r="E106" i="6"/>
  <c r="B108" i="1"/>
  <c r="K108" i="1" s="1"/>
  <c r="B107" i="1"/>
  <c r="K107" i="1" s="1"/>
  <c r="B106" i="1"/>
  <c r="K106" i="1" s="1"/>
  <c r="B68" i="1"/>
  <c r="K68" i="1" s="1"/>
  <c r="A108" i="1"/>
  <c r="A107" i="1"/>
  <c r="A106" i="1"/>
  <c r="B69" i="1"/>
  <c r="K69" i="1" s="1"/>
  <c r="A69" i="1"/>
  <c r="A68" i="1"/>
  <c r="A67" i="1"/>
  <c r="C131" i="6"/>
  <c r="C281" i="6" l="1"/>
  <c r="C276" i="6"/>
  <c r="C271" i="6"/>
  <c r="C266" i="6"/>
  <c r="C261" i="6"/>
  <c r="C256" i="6"/>
  <c r="C251" i="6"/>
  <c r="C246" i="6"/>
  <c r="C241" i="6"/>
  <c r="C236" i="6"/>
  <c r="C231" i="6"/>
  <c r="C226" i="6"/>
  <c r="C221" i="6"/>
  <c r="C216" i="6"/>
  <c r="C211" i="6"/>
  <c r="C206" i="6"/>
  <c r="C201" i="6"/>
  <c r="C196" i="6"/>
  <c r="C191" i="6"/>
  <c r="C186" i="6"/>
  <c r="C181" i="6"/>
  <c r="C176" i="6"/>
  <c r="C171" i="6"/>
  <c r="C166" i="6"/>
  <c r="C161" i="6"/>
  <c r="C156" i="6"/>
  <c r="C151" i="6"/>
  <c r="C146" i="6"/>
  <c r="C136" i="6"/>
  <c r="E141" i="1" l="1"/>
  <c r="C141" i="1"/>
  <c r="G141" i="1"/>
  <c r="E130" i="6"/>
  <c r="E129" i="6"/>
  <c r="E128" i="6"/>
  <c r="E127" i="6"/>
  <c r="E126" i="6"/>
  <c r="C126" i="6"/>
  <c r="I126" i="1" l="1"/>
  <c r="I130" i="1"/>
  <c r="I127" i="1"/>
  <c r="I128" i="1"/>
  <c r="I129" i="1"/>
  <c r="E69" i="6"/>
  <c r="E68" i="6"/>
  <c r="B282" i="1" l="1"/>
  <c r="B277" i="1"/>
  <c r="B272" i="1"/>
  <c r="B267" i="1"/>
  <c r="B262" i="1"/>
  <c r="B257" i="1"/>
  <c r="B252" i="1"/>
  <c r="B247" i="1"/>
  <c r="B242" i="1"/>
  <c r="B237" i="1"/>
  <c r="B232" i="1"/>
  <c r="B227" i="1"/>
  <c r="B222" i="1"/>
  <c r="B217" i="1"/>
  <c r="B212" i="1"/>
  <c r="B207" i="1"/>
  <c r="B202" i="1"/>
  <c r="B197" i="1"/>
  <c r="B192" i="1"/>
  <c r="B187" i="1"/>
  <c r="B182" i="1"/>
  <c r="B177" i="1"/>
  <c r="B172" i="1"/>
  <c r="B167" i="1"/>
  <c r="B162" i="1"/>
  <c r="B157" i="1"/>
  <c r="B152" i="1"/>
  <c r="B147" i="1"/>
  <c r="B142" i="1"/>
  <c r="J127" i="1" l="1"/>
  <c r="J128" i="1"/>
  <c r="J129" i="1"/>
  <c r="J130" i="1"/>
  <c r="I68" i="1" l="1"/>
  <c r="I67" i="1"/>
  <c r="I69" i="1"/>
  <c r="F69" i="6"/>
  <c r="F67" i="6"/>
  <c r="J67" i="1" s="1"/>
  <c r="F68" i="6"/>
  <c r="J68" i="1" s="1"/>
  <c r="C69" i="6"/>
  <c r="C67" i="6"/>
  <c r="C68" i="6"/>
  <c r="J69" i="1" l="1"/>
  <c r="J69" i="18"/>
  <c r="F16" i="6"/>
  <c r="J16" i="18" s="1"/>
  <c r="I21" i="1" l="1"/>
  <c r="C23" i="6" l="1"/>
  <c r="C23" i="18" s="1"/>
  <c r="C18" i="6"/>
  <c r="G17" i="6"/>
  <c r="G14" i="6"/>
  <c r="C23" i="1" l="1"/>
  <c r="C39" i="6" l="1"/>
  <c r="C40" i="6"/>
  <c r="F138" i="6" l="1"/>
  <c r="J138" i="18" s="1"/>
  <c r="F137" i="6"/>
  <c r="J137" i="18" s="1"/>
  <c r="F136" i="6"/>
  <c r="F135" i="6"/>
  <c r="J135" i="18" s="1"/>
  <c r="F134" i="6"/>
  <c r="J134" i="18" s="1"/>
  <c r="E282" i="6"/>
  <c r="E277" i="6"/>
  <c r="E272" i="6"/>
  <c r="E267" i="6"/>
  <c r="E262" i="6"/>
  <c r="E257" i="6"/>
  <c r="E252" i="6"/>
  <c r="E247" i="6"/>
  <c r="E242" i="6"/>
  <c r="E237" i="6"/>
  <c r="E232" i="6"/>
  <c r="E227" i="6"/>
  <c r="E222" i="6"/>
  <c r="E217" i="6"/>
  <c r="E212" i="6"/>
  <c r="E207" i="6"/>
  <c r="E202" i="6"/>
  <c r="E197" i="6"/>
  <c r="E192" i="6"/>
  <c r="E187" i="6"/>
  <c r="E182" i="6"/>
  <c r="E177" i="6"/>
  <c r="E172" i="6"/>
  <c r="E167" i="6"/>
  <c r="E162" i="6"/>
  <c r="E157" i="6"/>
  <c r="E152" i="6"/>
  <c r="E147" i="6"/>
  <c r="E142" i="6"/>
  <c r="E279" i="6"/>
  <c r="E274" i="6"/>
  <c r="E269" i="6"/>
  <c r="E264" i="6"/>
  <c r="E259" i="6"/>
  <c r="E254" i="6"/>
  <c r="E249" i="6"/>
  <c r="E244" i="6"/>
  <c r="E239" i="6"/>
  <c r="E234" i="6"/>
  <c r="E229" i="6"/>
  <c r="E224" i="6"/>
  <c r="E219" i="6"/>
  <c r="E214" i="6"/>
  <c r="E209" i="6"/>
  <c r="E204" i="6"/>
  <c r="E199" i="6"/>
  <c r="E194" i="6"/>
  <c r="E189" i="6"/>
  <c r="E184" i="6"/>
  <c r="E179" i="6"/>
  <c r="E174" i="6"/>
  <c r="E169" i="6"/>
  <c r="E164" i="6"/>
  <c r="E159" i="6"/>
  <c r="E154" i="6"/>
  <c r="E149" i="6"/>
  <c r="E144" i="6"/>
  <c r="E139" i="6"/>
  <c r="F303" i="6"/>
  <c r="F301" i="6"/>
  <c r="F300" i="6"/>
  <c r="F299" i="6"/>
  <c r="F298" i="6"/>
  <c r="F297" i="6"/>
  <c r="F296" i="6"/>
  <c r="F283" i="6"/>
  <c r="F281" i="6"/>
  <c r="F280" i="6"/>
  <c r="F279" i="6"/>
  <c r="F278" i="6"/>
  <c r="F276" i="6"/>
  <c r="F275" i="6"/>
  <c r="F274" i="6"/>
  <c r="F273" i="6"/>
  <c r="F271" i="6"/>
  <c r="F270" i="6"/>
  <c r="F269" i="6"/>
  <c r="F268" i="6"/>
  <c r="F266" i="6"/>
  <c r="F265" i="6"/>
  <c r="F264" i="6"/>
  <c r="F263" i="6"/>
  <c r="F261" i="6"/>
  <c r="F260" i="6"/>
  <c r="F259" i="6"/>
  <c r="F258" i="6"/>
  <c r="F256" i="6"/>
  <c r="F255" i="6"/>
  <c r="F254" i="6"/>
  <c r="F253" i="6"/>
  <c r="F251" i="6"/>
  <c r="F250" i="6"/>
  <c r="F249" i="6"/>
  <c r="F248" i="6"/>
  <c r="F246" i="6"/>
  <c r="F245" i="6"/>
  <c r="F244" i="6"/>
  <c r="F243" i="6"/>
  <c r="F241" i="6"/>
  <c r="F240" i="6"/>
  <c r="F239" i="6"/>
  <c r="F238" i="6"/>
  <c r="F236" i="6"/>
  <c r="F235" i="6"/>
  <c r="F234" i="6"/>
  <c r="F233" i="6"/>
  <c r="F231" i="6"/>
  <c r="F230" i="6"/>
  <c r="F229" i="6"/>
  <c r="F228" i="6"/>
  <c r="F226" i="6"/>
  <c r="F225" i="6"/>
  <c r="F224" i="6"/>
  <c r="F223" i="6"/>
  <c r="F221" i="6"/>
  <c r="F220" i="6"/>
  <c r="F219" i="6"/>
  <c r="F218" i="6"/>
  <c r="F216" i="6"/>
  <c r="F215" i="6"/>
  <c r="F214" i="6"/>
  <c r="F213" i="6"/>
  <c r="F211" i="6"/>
  <c r="F210" i="6"/>
  <c r="F209" i="6"/>
  <c r="F208" i="6"/>
  <c r="F206" i="6"/>
  <c r="F205" i="6"/>
  <c r="F204" i="6"/>
  <c r="F203" i="6"/>
  <c r="F201" i="6"/>
  <c r="F200" i="6"/>
  <c r="F199" i="6"/>
  <c r="F198" i="6"/>
  <c r="F196" i="6"/>
  <c r="F195" i="6"/>
  <c r="F194" i="6"/>
  <c r="F193" i="6"/>
  <c r="F191" i="6"/>
  <c r="F190" i="6"/>
  <c r="F189" i="6"/>
  <c r="F188" i="6"/>
  <c r="F186" i="6"/>
  <c r="F185" i="6"/>
  <c r="F184" i="6"/>
  <c r="F183" i="6"/>
  <c r="F181" i="6"/>
  <c r="F180" i="6"/>
  <c r="F179" i="6"/>
  <c r="F178" i="6"/>
  <c r="F176" i="6"/>
  <c r="F175" i="6"/>
  <c r="F174" i="6"/>
  <c r="F173" i="6"/>
  <c r="F171" i="6"/>
  <c r="F170" i="6"/>
  <c r="F169" i="6"/>
  <c r="F168" i="6"/>
  <c r="F166" i="6"/>
  <c r="F165" i="6"/>
  <c r="F164" i="6"/>
  <c r="F163" i="6"/>
  <c r="F161" i="6"/>
  <c r="F160" i="6"/>
  <c r="F159" i="6"/>
  <c r="F158" i="6"/>
  <c r="F156" i="6"/>
  <c r="F155" i="6"/>
  <c r="F154" i="6"/>
  <c r="F153" i="6"/>
  <c r="F151" i="6"/>
  <c r="F150" i="6"/>
  <c r="F149" i="6"/>
  <c r="F148" i="6"/>
  <c r="F146" i="6"/>
  <c r="F145" i="6"/>
  <c r="F144" i="6"/>
  <c r="F143" i="6"/>
  <c r="F141" i="6"/>
  <c r="F140" i="6"/>
  <c r="F139" i="6"/>
  <c r="F133" i="6"/>
  <c r="F131" i="6"/>
  <c r="F125" i="6"/>
  <c r="F124" i="6"/>
  <c r="F123" i="6"/>
  <c r="F122" i="6"/>
  <c r="F121" i="6"/>
  <c r="F120" i="6"/>
  <c r="F119" i="6"/>
  <c r="F118" i="6"/>
  <c r="F117" i="6"/>
  <c r="F116" i="6"/>
  <c r="F115" i="6"/>
  <c r="F114" i="6"/>
  <c r="F113" i="6"/>
  <c r="F111" i="6"/>
  <c r="F107" i="6"/>
  <c r="F106" i="6"/>
  <c r="F108" i="6"/>
  <c r="J108" i="18" s="1"/>
  <c r="F105" i="6"/>
  <c r="F103" i="6"/>
  <c r="F102" i="6"/>
  <c r="F101" i="6"/>
  <c r="F95" i="6"/>
  <c r="F94" i="6"/>
  <c r="F93" i="6"/>
  <c r="F71" i="6"/>
  <c r="F70" i="6"/>
  <c r="F66" i="6"/>
  <c r="F64" i="6"/>
  <c r="F63" i="6"/>
  <c r="F62" i="6"/>
  <c r="F61" i="6"/>
  <c r="F60" i="6"/>
  <c r="F59" i="6"/>
  <c r="F58" i="6"/>
  <c r="F57" i="6"/>
  <c r="F56" i="6"/>
  <c r="F53" i="6"/>
  <c r="F52" i="6"/>
  <c r="F51" i="6"/>
  <c r="F49" i="6"/>
  <c r="F48" i="6"/>
  <c r="F47" i="6"/>
  <c r="F46" i="6"/>
  <c r="F45" i="6"/>
  <c r="F44" i="6"/>
  <c r="F43" i="6"/>
  <c r="F42" i="6"/>
  <c r="F37" i="6"/>
  <c r="F36" i="6"/>
  <c r="F35" i="6"/>
  <c r="F34" i="6"/>
  <c r="F33" i="6"/>
  <c r="F32" i="6"/>
  <c r="F31" i="6"/>
  <c r="F30" i="6"/>
  <c r="F23" i="6"/>
  <c r="F18" i="6"/>
  <c r="F17" i="6"/>
  <c r="J17" i="18" s="1"/>
  <c r="F14" i="6"/>
  <c r="J14" i="18" s="1"/>
  <c r="I167" i="1" l="1"/>
  <c r="I152" i="1"/>
  <c r="I172" i="1"/>
  <c r="I192" i="1"/>
  <c r="I212" i="1"/>
  <c r="I232" i="1"/>
  <c r="I252" i="1"/>
  <c r="I272" i="1"/>
  <c r="I157" i="1"/>
  <c r="I177" i="1"/>
  <c r="I197" i="1"/>
  <c r="I217" i="1"/>
  <c r="I237" i="1"/>
  <c r="I257" i="1"/>
  <c r="I277" i="1"/>
  <c r="I142" i="1"/>
  <c r="I162" i="1"/>
  <c r="I182" i="1"/>
  <c r="I202" i="1"/>
  <c r="I222" i="1"/>
  <c r="I242" i="1"/>
  <c r="I262" i="1"/>
  <c r="I282" i="1"/>
  <c r="I147" i="1"/>
  <c r="I187" i="1"/>
  <c r="I207" i="1"/>
  <c r="I227" i="1"/>
  <c r="I247" i="1"/>
  <c r="I267" i="1"/>
  <c r="J303" i="1"/>
  <c r="J301" i="1"/>
  <c r="J300" i="1"/>
  <c r="J298" i="1"/>
  <c r="J297" i="1"/>
  <c r="J296" i="1"/>
  <c r="J283" i="1"/>
  <c r="J280" i="1"/>
  <c r="J279" i="1"/>
  <c r="J275" i="1"/>
  <c r="J274" i="1"/>
  <c r="J270" i="1"/>
  <c r="J269" i="1"/>
  <c r="J268" i="1"/>
  <c r="J265" i="1"/>
  <c r="J264" i="1"/>
  <c r="J263" i="1"/>
  <c r="J259" i="1"/>
  <c r="J258" i="1"/>
  <c r="J253" i="1"/>
  <c r="J250" i="1"/>
  <c r="J249" i="1"/>
  <c r="J248" i="1"/>
  <c r="J245" i="1"/>
  <c r="J244" i="1"/>
  <c r="J243" i="1"/>
  <c r="J240" i="1"/>
  <c r="J239" i="1"/>
  <c r="J235" i="1"/>
  <c r="J234" i="1"/>
  <c r="J230" i="1"/>
  <c r="J229" i="1"/>
  <c r="J228" i="1"/>
  <c r="J225" i="1"/>
  <c r="J224" i="1"/>
  <c r="J220" i="1"/>
  <c r="J219" i="1"/>
  <c r="J218" i="1"/>
  <c r="J215" i="1"/>
  <c r="J214" i="1"/>
  <c r="J213" i="1"/>
  <c r="J210" i="1"/>
  <c r="J209" i="1"/>
  <c r="J208" i="1"/>
  <c r="J205" i="1"/>
  <c r="J204" i="1"/>
  <c r="J203" i="1"/>
  <c r="J200" i="1"/>
  <c r="J199" i="1"/>
  <c r="J195" i="1"/>
  <c r="J194" i="1"/>
  <c r="J193" i="1"/>
  <c r="J190" i="1"/>
  <c r="J189" i="1"/>
  <c r="J188" i="1"/>
  <c r="J184" i="1"/>
  <c r="J183" i="1"/>
  <c r="J180" i="1"/>
  <c r="J179" i="1"/>
  <c r="J178" i="1"/>
  <c r="J174" i="1"/>
  <c r="J173" i="1"/>
  <c r="J170" i="1"/>
  <c r="J169" i="1"/>
  <c r="J168" i="1"/>
  <c r="J165" i="1"/>
  <c r="J164" i="1"/>
  <c r="J160" i="1"/>
  <c r="J159" i="1"/>
  <c r="J158" i="1"/>
  <c r="J154" i="1"/>
  <c r="J153" i="1"/>
  <c r="J150" i="1"/>
  <c r="J149" i="1"/>
  <c r="J148" i="1"/>
  <c r="J145" i="1"/>
  <c r="J144" i="1"/>
  <c r="J140" i="1"/>
  <c r="J139" i="1"/>
  <c r="J138" i="1"/>
  <c r="J137" i="1"/>
  <c r="J135" i="1"/>
  <c r="J133" i="1"/>
  <c r="J125" i="1"/>
  <c r="J124" i="1"/>
  <c r="J123" i="1"/>
  <c r="J121" i="1"/>
  <c r="J120" i="1"/>
  <c r="J119" i="1"/>
  <c r="J117" i="1"/>
  <c r="J116" i="1"/>
  <c r="J115" i="1"/>
  <c r="J113" i="1"/>
  <c r="J111" i="1"/>
  <c r="J107" i="1"/>
  <c r="J108" i="1"/>
  <c r="J105" i="1"/>
  <c r="J103" i="1"/>
  <c r="J101" i="1"/>
  <c r="J95" i="1"/>
  <c r="J94" i="1"/>
  <c r="J93" i="1"/>
  <c r="J71" i="1"/>
  <c r="J66" i="1"/>
  <c r="J64" i="1"/>
  <c r="J63" i="1"/>
  <c r="J62" i="1"/>
  <c r="J61" i="1"/>
  <c r="J60" i="1"/>
  <c r="J59" i="1"/>
  <c r="J58" i="1"/>
  <c r="J57" i="1"/>
  <c r="J56" i="1"/>
  <c r="J53" i="1"/>
  <c r="J52" i="1"/>
  <c r="J49" i="1"/>
  <c r="J48" i="1"/>
  <c r="J47" i="1"/>
  <c r="J46" i="1"/>
  <c r="J44" i="1"/>
  <c r="J43" i="1"/>
  <c r="J42" i="1"/>
  <c r="J39" i="1"/>
  <c r="J37" i="1"/>
  <c r="J36" i="1"/>
  <c r="J35" i="1"/>
  <c r="J34" i="1"/>
  <c r="J32" i="1"/>
  <c r="J31" i="1"/>
  <c r="J30" i="1"/>
  <c r="J16" i="1"/>
  <c r="J278" i="1"/>
  <c r="J273" i="1"/>
  <c r="J260" i="1"/>
  <c r="J254" i="1"/>
  <c r="J238" i="1"/>
  <c r="J233" i="1"/>
  <c r="J198" i="1"/>
  <c r="J185" i="1"/>
  <c r="J134" i="1"/>
  <c r="J102" i="1"/>
  <c r="J45" i="1"/>
  <c r="J33" i="1"/>
  <c r="J299" i="1"/>
  <c r="J255" i="1"/>
  <c r="J223" i="1"/>
  <c r="J175" i="1"/>
  <c r="J163" i="1"/>
  <c r="J155" i="1"/>
  <c r="J143" i="1"/>
  <c r="J131" i="1"/>
  <c r="J122" i="1"/>
  <c r="J118" i="1"/>
  <c r="J114" i="1"/>
  <c r="J106" i="1"/>
  <c r="J70" i="1"/>
  <c r="J51" i="1"/>
  <c r="C119" i="6" l="1"/>
  <c r="C118" i="6"/>
  <c r="E123" i="6"/>
  <c r="G40" i="6"/>
  <c r="E283" i="6"/>
  <c r="B280" i="1"/>
  <c r="I280" i="1" s="1"/>
  <c r="B279" i="1"/>
  <c r="I279" i="1" s="1"/>
  <c r="E278" i="6"/>
  <c r="B275" i="1"/>
  <c r="I275" i="1" s="1"/>
  <c r="B274" i="1"/>
  <c r="I274" i="1" s="1"/>
  <c r="E273" i="6"/>
  <c r="B270" i="1"/>
  <c r="I270" i="1" s="1"/>
  <c r="B269" i="1"/>
  <c r="I269" i="1" s="1"/>
  <c r="E268" i="6"/>
  <c r="B265" i="1"/>
  <c r="I265" i="1" s="1"/>
  <c r="B264" i="1"/>
  <c r="I264" i="1" s="1"/>
  <c r="E263" i="6"/>
  <c r="B260" i="1"/>
  <c r="I260" i="1" s="1"/>
  <c r="B259" i="1"/>
  <c r="I259" i="1" s="1"/>
  <c r="E258" i="6"/>
  <c r="B255" i="1"/>
  <c r="I255" i="1" s="1"/>
  <c r="B254" i="1"/>
  <c r="I254" i="1" s="1"/>
  <c r="E253" i="6"/>
  <c r="B250" i="1"/>
  <c r="I250" i="1" s="1"/>
  <c r="B249" i="1"/>
  <c r="I249" i="1" s="1"/>
  <c r="E248" i="6"/>
  <c r="B245" i="1"/>
  <c r="I245" i="1" s="1"/>
  <c r="B244" i="1"/>
  <c r="I244" i="1" s="1"/>
  <c r="E243" i="6"/>
  <c r="B240" i="1"/>
  <c r="I240" i="1" s="1"/>
  <c r="B239" i="1"/>
  <c r="I239" i="1" s="1"/>
  <c r="E238" i="6"/>
  <c r="B235" i="1"/>
  <c r="I235" i="1" s="1"/>
  <c r="B234" i="1"/>
  <c r="I234" i="1" s="1"/>
  <c r="E233" i="6"/>
  <c r="B230" i="1"/>
  <c r="I230" i="1" s="1"/>
  <c r="B229" i="1"/>
  <c r="I229" i="1" s="1"/>
  <c r="E228" i="6"/>
  <c r="B225" i="1"/>
  <c r="I225" i="1" s="1"/>
  <c r="B224" i="1"/>
  <c r="I224" i="1" s="1"/>
  <c r="E223" i="6"/>
  <c r="B220" i="1"/>
  <c r="I220" i="1" s="1"/>
  <c r="B219" i="1"/>
  <c r="I219" i="1" s="1"/>
  <c r="E218" i="6"/>
  <c r="B215" i="1"/>
  <c r="I215" i="1" s="1"/>
  <c r="B214" i="1"/>
  <c r="I214" i="1" s="1"/>
  <c r="E213" i="6"/>
  <c r="B210" i="1"/>
  <c r="I210" i="1" s="1"/>
  <c r="B209" i="1"/>
  <c r="I209" i="1" s="1"/>
  <c r="E208" i="6"/>
  <c r="B205" i="1"/>
  <c r="I205" i="1" s="1"/>
  <c r="B204" i="1"/>
  <c r="I204" i="1" s="1"/>
  <c r="E203" i="6"/>
  <c r="B200" i="1"/>
  <c r="I200" i="1" s="1"/>
  <c r="B199" i="1"/>
  <c r="I199" i="1" s="1"/>
  <c r="E198" i="6"/>
  <c r="B195" i="1"/>
  <c r="I195" i="1" s="1"/>
  <c r="B194" i="1"/>
  <c r="I194" i="1" s="1"/>
  <c r="E193" i="6"/>
  <c r="B190" i="1"/>
  <c r="I190" i="1" s="1"/>
  <c r="B189" i="1"/>
  <c r="I189" i="1" s="1"/>
  <c r="E188" i="6"/>
  <c r="B185" i="1"/>
  <c r="I185" i="1" s="1"/>
  <c r="B184" i="1"/>
  <c r="I184" i="1" s="1"/>
  <c r="E183" i="6"/>
  <c r="B180" i="1"/>
  <c r="I180" i="1" s="1"/>
  <c r="B179" i="1"/>
  <c r="I179" i="1" s="1"/>
  <c r="E178" i="6"/>
  <c r="B175" i="1"/>
  <c r="I175" i="1" s="1"/>
  <c r="B174" i="1"/>
  <c r="I174" i="1" s="1"/>
  <c r="E173" i="6"/>
  <c r="B170" i="1"/>
  <c r="I170" i="1" s="1"/>
  <c r="B169" i="1"/>
  <c r="I169" i="1" s="1"/>
  <c r="E168" i="6"/>
  <c r="B165" i="1"/>
  <c r="I165" i="1" s="1"/>
  <c r="B164" i="1"/>
  <c r="I164" i="1" s="1"/>
  <c r="E163" i="6"/>
  <c r="B160" i="1"/>
  <c r="I160" i="1" s="1"/>
  <c r="B159" i="1"/>
  <c r="I159" i="1" s="1"/>
  <c r="E158" i="6"/>
  <c r="B155" i="1"/>
  <c r="I155" i="1" s="1"/>
  <c r="B154" i="1"/>
  <c r="I154" i="1" s="1"/>
  <c r="E153" i="6"/>
  <c r="B150" i="1"/>
  <c r="I150" i="1" s="1"/>
  <c r="B149" i="1"/>
  <c r="I149" i="1" s="1"/>
  <c r="E148" i="6"/>
  <c r="B145" i="1"/>
  <c r="I145" i="1" s="1"/>
  <c r="B144" i="1"/>
  <c r="I144" i="1" s="1"/>
  <c r="E143" i="6"/>
  <c r="B140" i="1"/>
  <c r="I140" i="1" s="1"/>
  <c r="B139" i="1"/>
  <c r="I139" i="1" s="1"/>
  <c r="I158" i="1" l="1"/>
  <c r="I198" i="1"/>
  <c r="I238" i="1"/>
  <c r="I173" i="1"/>
  <c r="I213" i="1"/>
  <c r="I233" i="1"/>
  <c r="I253" i="1"/>
  <c r="I273" i="1"/>
  <c r="I148" i="1"/>
  <c r="I168" i="1"/>
  <c r="I188" i="1"/>
  <c r="I208" i="1"/>
  <c r="I228" i="1"/>
  <c r="I248" i="1"/>
  <c r="I268" i="1"/>
  <c r="I178" i="1"/>
  <c r="I218" i="1"/>
  <c r="I258" i="1"/>
  <c r="I278" i="1"/>
  <c r="I153" i="1"/>
  <c r="I193" i="1"/>
  <c r="I143" i="1"/>
  <c r="I163" i="1"/>
  <c r="I183" i="1"/>
  <c r="I203" i="1"/>
  <c r="I223" i="1"/>
  <c r="I243" i="1"/>
  <c r="I263" i="1"/>
  <c r="I283" i="1"/>
  <c r="I40" i="1"/>
  <c r="G152" i="6"/>
  <c r="I152" i="6"/>
  <c r="H192" i="6"/>
  <c r="I192" i="6"/>
  <c r="G192" i="6"/>
  <c r="H252" i="6"/>
  <c r="G252" i="6"/>
  <c r="I252" i="6"/>
  <c r="G157" i="6"/>
  <c r="I157" i="6"/>
  <c r="G197" i="6"/>
  <c r="I197" i="6"/>
  <c r="H197" i="6"/>
  <c r="G257" i="6"/>
  <c r="I257" i="6"/>
  <c r="H257" i="6"/>
  <c r="I142" i="6"/>
  <c r="G142" i="6"/>
  <c r="G162" i="6"/>
  <c r="I162" i="6"/>
  <c r="I182" i="6"/>
  <c r="H182" i="6"/>
  <c r="G182" i="6"/>
  <c r="H202" i="6"/>
  <c r="G202" i="6"/>
  <c r="I202" i="6"/>
  <c r="H222" i="6"/>
  <c r="I222" i="6"/>
  <c r="G222" i="6"/>
  <c r="I242" i="6"/>
  <c r="H242" i="6"/>
  <c r="G242" i="6"/>
  <c r="G262" i="6"/>
  <c r="I262" i="6"/>
  <c r="H262" i="6"/>
  <c r="H282" i="6"/>
  <c r="G282" i="6"/>
  <c r="G172" i="6"/>
  <c r="I172" i="6"/>
  <c r="H212" i="6"/>
  <c r="G212" i="6"/>
  <c r="I212" i="6"/>
  <c r="H232" i="6"/>
  <c r="I232" i="6"/>
  <c r="G232" i="6"/>
  <c r="H272" i="6"/>
  <c r="G272" i="6"/>
  <c r="I272" i="6"/>
  <c r="G177" i="6"/>
  <c r="I177" i="6"/>
  <c r="G217" i="6"/>
  <c r="I217" i="6"/>
  <c r="H217" i="6"/>
  <c r="G237" i="6"/>
  <c r="H237" i="6"/>
  <c r="I237" i="6"/>
  <c r="G277" i="6"/>
  <c r="H277" i="6"/>
  <c r="I277" i="6"/>
  <c r="I147" i="6"/>
  <c r="G147" i="6"/>
  <c r="I167" i="6"/>
  <c r="G167" i="6"/>
  <c r="I187" i="6"/>
  <c r="H187" i="6"/>
  <c r="G187" i="6"/>
  <c r="I207" i="6"/>
  <c r="G207" i="6"/>
  <c r="H207" i="6"/>
  <c r="I227" i="6"/>
  <c r="H227" i="6"/>
  <c r="G227" i="6"/>
  <c r="I247" i="6"/>
  <c r="G247" i="6"/>
  <c r="H247" i="6"/>
  <c r="I267" i="6"/>
  <c r="H267" i="6"/>
  <c r="G267" i="6"/>
  <c r="F40" i="6"/>
  <c r="J40" i="18" s="1"/>
  <c r="E138" i="6"/>
  <c r="E101" i="6"/>
  <c r="F187" i="6" l="1"/>
  <c r="J187" i="18" s="1"/>
  <c r="F262" i="6"/>
  <c r="J262" i="18" s="1"/>
  <c r="F157" i="6"/>
  <c r="J157" i="18" s="1"/>
  <c r="F242" i="6"/>
  <c r="J242" i="18" s="1"/>
  <c r="J40" i="1"/>
  <c r="F277" i="6"/>
  <c r="J277" i="18" s="1"/>
  <c r="F257" i="6"/>
  <c r="J257" i="18" s="1"/>
  <c r="F177" i="6"/>
  <c r="J177" i="18" s="1"/>
  <c r="F167" i="6"/>
  <c r="J167" i="18" s="1"/>
  <c r="F152" i="6"/>
  <c r="J152" i="18" s="1"/>
  <c r="F247" i="6"/>
  <c r="J247" i="18" s="1"/>
  <c r="F227" i="6"/>
  <c r="J227" i="18" s="1"/>
  <c r="F237" i="6"/>
  <c r="J237" i="18" s="1"/>
  <c r="F217" i="6"/>
  <c r="J217" i="18" s="1"/>
  <c r="F272" i="6"/>
  <c r="J272" i="18" s="1"/>
  <c r="F182" i="6"/>
  <c r="J182" i="18" s="1"/>
  <c r="F162" i="6"/>
  <c r="J162" i="18" s="1"/>
  <c r="F252" i="6"/>
  <c r="J252" i="18" s="1"/>
  <c r="F172" i="6"/>
  <c r="J172" i="18" s="1"/>
  <c r="F142" i="6"/>
  <c r="F267" i="6"/>
  <c r="J267" i="18" s="1"/>
  <c r="F207" i="6"/>
  <c r="J207" i="18" s="1"/>
  <c r="F147" i="6"/>
  <c r="J147" i="18" s="1"/>
  <c r="F232" i="6"/>
  <c r="J232" i="18" s="1"/>
  <c r="F212" i="6"/>
  <c r="J212" i="18" s="1"/>
  <c r="F282" i="6"/>
  <c r="J282" i="18" s="1"/>
  <c r="F222" i="6"/>
  <c r="J222" i="18" s="1"/>
  <c r="F202" i="6"/>
  <c r="J202" i="18" s="1"/>
  <c r="F197" i="6"/>
  <c r="J197" i="18" s="1"/>
  <c r="F192" i="6"/>
  <c r="J192" i="18" s="1"/>
  <c r="I138" i="1"/>
  <c r="E133" i="6"/>
  <c r="E132" i="6"/>
  <c r="E125" i="6"/>
  <c r="I46" i="1"/>
  <c r="I45" i="1"/>
  <c r="I34" i="1"/>
  <c r="I33" i="1"/>
  <c r="I137" i="1"/>
  <c r="I136" i="1"/>
  <c r="I95" i="1"/>
  <c r="I94" i="1"/>
  <c r="I93" i="1"/>
  <c r="I92" i="1"/>
  <c r="I91" i="1"/>
  <c r="I90" i="1"/>
  <c r="I89" i="1"/>
  <c r="I88" i="1"/>
  <c r="I87" i="1"/>
  <c r="I86" i="1"/>
  <c r="I85" i="1"/>
  <c r="I84" i="1"/>
  <c r="I83" i="1"/>
  <c r="I82" i="1"/>
  <c r="I81" i="1"/>
  <c r="I80" i="1"/>
  <c r="I79" i="1"/>
  <c r="I78" i="1"/>
  <c r="I77" i="1"/>
  <c r="I76" i="1"/>
  <c r="I75" i="1"/>
  <c r="I49" i="1"/>
  <c r="I48" i="1"/>
  <c r="I47" i="1"/>
  <c r="I44" i="1"/>
  <c r="I43" i="1"/>
  <c r="I41" i="1"/>
  <c r="G55" i="6"/>
  <c r="G302" i="6"/>
  <c r="G104" i="6"/>
  <c r="G65" i="6"/>
  <c r="G54" i="6"/>
  <c r="G41" i="6"/>
  <c r="G29" i="6"/>
  <c r="G28" i="6"/>
  <c r="G92" i="6"/>
  <c r="G91" i="6"/>
  <c r="G90" i="6"/>
  <c r="G89" i="6"/>
  <c r="G88" i="6"/>
  <c r="G87" i="6"/>
  <c r="G86" i="6"/>
  <c r="G85" i="6"/>
  <c r="G84" i="6"/>
  <c r="G83" i="6"/>
  <c r="G82" i="6"/>
  <c r="G81" i="6"/>
  <c r="G80" i="6"/>
  <c r="G79" i="6"/>
  <c r="G78" i="6"/>
  <c r="G74" i="6"/>
  <c r="G73" i="6"/>
  <c r="G72" i="6"/>
  <c r="G77" i="6"/>
  <c r="G76" i="6"/>
  <c r="G75" i="6"/>
  <c r="J142" i="1" l="1"/>
  <c r="J142" i="18"/>
  <c r="J177" i="1"/>
  <c r="J147" i="1"/>
  <c r="J172" i="1"/>
  <c r="J157" i="1"/>
  <c r="J152" i="1"/>
  <c r="J162" i="1"/>
  <c r="J167" i="1"/>
  <c r="J202" i="1"/>
  <c r="J232" i="1"/>
  <c r="J182" i="1"/>
  <c r="J227" i="1"/>
  <c r="J242" i="1"/>
  <c r="J222" i="1"/>
  <c r="J272" i="1"/>
  <c r="J247" i="1"/>
  <c r="J257" i="1"/>
  <c r="J192" i="1"/>
  <c r="J282" i="1"/>
  <c r="J207" i="1"/>
  <c r="J252" i="1"/>
  <c r="J217" i="1"/>
  <c r="J277" i="1"/>
  <c r="J262" i="1"/>
  <c r="J197" i="1"/>
  <c r="J212" i="1"/>
  <c r="J267" i="1"/>
  <c r="J237" i="1"/>
  <c r="J187" i="1"/>
  <c r="I108" i="1"/>
  <c r="I297" i="1"/>
  <c r="I106" i="1"/>
  <c r="I300" i="1"/>
  <c r="I107" i="1"/>
  <c r="I133" i="1"/>
  <c r="I303" i="1"/>
  <c r="I299" i="1"/>
  <c r="I125" i="1"/>
  <c r="I301" i="1"/>
  <c r="I132" i="1"/>
  <c r="I298" i="1"/>
  <c r="I17" i="1"/>
  <c r="I111" i="1"/>
  <c r="I302" i="1"/>
  <c r="F74" i="6"/>
  <c r="J74" i="18" s="1"/>
  <c r="F85" i="6"/>
  <c r="J85" i="18" s="1"/>
  <c r="F28" i="6"/>
  <c r="J28" i="18" s="1"/>
  <c r="F77" i="6"/>
  <c r="J77" i="18" s="1"/>
  <c r="F82" i="6"/>
  <c r="J82" i="18" s="1"/>
  <c r="F90" i="6"/>
  <c r="J90" i="18" s="1"/>
  <c r="F104" i="6"/>
  <c r="J104" i="18" s="1"/>
  <c r="F72" i="6"/>
  <c r="J72" i="18" s="1"/>
  <c r="F79" i="6"/>
  <c r="J79" i="18" s="1"/>
  <c r="F83" i="6"/>
  <c r="J83" i="18" s="1"/>
  <c r="F87" i="6"/>
  <c r="J87" i="18" s="1"/>
  <c r="F91" i="6"/>
  <c r="J91" i="18" s="1"/>
  <c r="F41" i="6"/>
  <c r="J41" i="18" s="1"/>
  <c r="F302" i="6"/>
  <c r="J302" i="18" s="1"/>
  <c r="F76" i="6"/>
  <c r="J76" i="18" s="1"/>
  <c r="F81" i="6"/>
  <c r="J81" i="18" s="1"/>
  <c r="F89" i="6"/>
  <c r="J89" i="18" s="1"/>
  <c r="F65" i="6"/>
  <c r="J65" i="18" s="1"/>
  <c r="F78" i="6"/>
  <c r="J78" i="18" s="1"/>
  <c r="F86" i="6"/>
  <c r="J86" i="18" s="1"/>
  <c r="F29" i="6"/>
  <c r="J29" i="18" s="1"/>
  <c r="F75" i="6"/>
  <c r="J75" i="18" s="1"/>
  <c r="F73" i="6"/>
  <c r="J73" i="18" s="1"/>
  <c r="F80" i="6"/>
  <c r="J80" i="18" s="1"/>
  <c r="F84" i="6"/>
  <c r="J84" i="18" s="1"/>
  <c r="F88" i="6"/>
  <c r="J88" i="18" s="1"/>
  <c r="F92" i="6"/>
  <c r="J92" i="18" s="1"/>
  <c r="F54" i="6"/>
  <c r="J54" i="18" s="1"/>
  <c r="F55" i="6"/>
  <c r="J55" i="18" s="1"/>
  <c r="J17" i="1"/>
  <c r="G15" i="6"/>
  <c r="J14" i="1"/>
  <c r="J22" i="6"/>
  <c r="J21" i="6"/>
  <c r="K21" i="6" s="1"/>
  <c r="C14" i="6"/>
  <c r="J75" i="1" l="1"/>
  <c r="J302" i="1"/>
  <c r="J90" i="1"/>
  <c r="J29" i="1"/>
  <c r="J41" i="1"/>
  <c r="J82" i="1"/>
  <c r="J54" i="1"/>
  <c r="J80" i="1"/>
  <c r="J86" i="1"/>
  <c r="J81" i="1"/>
  <c r="J91" i="1"/>
  <c r="J72" i="1"/>
  <c r="J77" i="1"/>
  <c r="J88" i="1"/>
  <c r="J65" i="1"/>
  <c r="J83" i="1"/>
  <c r="J85" i="1"/>
  <c r="J55" i="1"/>
  <c r="J84" i="1"/>
  <c r="J89" i="1"/>
  <c r="J79" i="1"/>
  <c r="J74" i="1"/>
  <c r="J92" i="1"/>
  <c r="J73" i="1"/>
  <c r="J78" i="1"/>
  <c r="J76" i="1"/>
  <c r="J87" i="1"/>
  <c r="J104" i="1"/>
  <c r="J28" i="1"/>
  <c r="F15" i="6"/>
  <c r="J15" i="18" s="1"/>
  <c r="G21" i="6"/>
  <c r="F21" i="6" s="1"/>
  <c r="J21" i="18" s="1"/>
  <c r="K22" i="6"/>
  <c r="L22" i="6"/>
  <c r="B2" i="7"/>
  <c r="E23" i="7" s="1"/>
  <c r="G22" i="6" l="1"/>
  <c r="F22" i="6" s="1"/>
  <c r="J22" i="18" s="1"/>
  <c r="J15" i="1"/>
  <c r="J21" i="1"/>
  <c r="E16" i="7"/>
  <c r="E4" i="7"/>
  <c r="E20" i="7"/>
  <c r="E8" i="7"/>
  <c r="E24" i="7"/>
  <c r="E12" i="7"/>
  <c r="E5" i="7"/>
  <c r="E9" i="7"/>
  <c r="E13" i="7"/>
  <c r="E17" i="7"/>
  <c r="E21" i="7"/>
  <c r="E25" i="7"/>
  <c r="E2" i="7"/>
  <c r="E6" i="7"/>
  <c r="E10" i="7"/>
  <c r="E14" i="7"/>
  <c r="E18" i="7"/>
  <c r="E22" i="7"/>
  <c r="E26" i="7"/>
  <c r="E3" i="7"/>
  <c r="E7" i="7"/>
  <c r="E11" i="7"/>
  <c r="E15" i="7"/>
  <c r="E19" i="7"/>
  <c r="J22" i="1" l="1"/>
  <c r="E27" i="7"/>
  <c r="B3" i="7" s="1"/>
  <c r="G132" i="6" l="1"/>
  <c r="C301" i="6"/>
  <c r="C300" i="6"/>
  <c r="C103" i="6"/>
  <c r="C48" i="6"/>
  <c r="C47" i="6"/>
  <c r="C36" i="6"/>
  <c r="C35" i="6"/>
  <c r="F132" i="6" l="1"/>
  <c r="J132" i="1" l="1"/>
  <c r="C41" i="6"/>
  <c r="C42" i="6"/>
  <c r="C43" i="6"/>
  <c r="C44" i="6"/>
  <c r="C49" i="6"/>
  <c r="C46" i="6"/>
  <c r="AK151" i="4"/>
  <c r="R102" i="4"/>
  <c r="R103" i="4"/>
  <c r="R119" i="4"/>
  <c r="E151" i="4"/>
  <c r="I151" i="4"/>
  <c r="AR151" i="4" s="1"/>
  <c r="O151" i="4"/>
  <c r="AU151" i="4"/>
  <c r="E152" i="4"/>
  <c r="I152" i="4"/>
  <c r="AR152" i="4" s="1"/>
  <c r="O152" i="4"/>
  <c r="AK152" i="4"/>
  <c r="AU152" i="4"/>
  <c r="E153" i="4"/>
  <c r="I153" i="4"/>
  <c r="AR153" i="4" s="1"/>
  <c r="O153" i="4"/>
  <c r="AK153" i="4"/>
  <c r="AU153" i="4"/>
  <c r="E154" i="4"/>
  <c r="I154" i="4"/>
  <c r="AR154" i="4" s="1"/>
  <c r="O154" i="4"/>
  <c r="AK154" i="4"/>
  <c r="AU154" i="4"/>
  <c r="E155" i="4"/>
  <c r="I155" i="4"/>
  <c r="AR155" i="4" s="1"/>
  <c r="O155" i="4"/>
  <c r="AK155" i="4"/>
  <c r="AU155" i="4"/>
  <c r="E156" i="4"/>
  <c r="I156" i="4"/>
  <c r="AR156" i="4" s="1"/>
  <c r="O156" i="4"/>
  <c r="AK156" i="4"/>
  <c r="AU156" i="4"/>
  <c r="E157" i="4"/>
  <c r="I157" i="4"/>
  <c r="AR157" i="4" s="1"/>
  <c r="O157" i="4"/>
  <c r="AK157" i="4"/>
  <c r="AU157" i="4"/>
  <c r="E158" i="4"/>
  <c r="I158" i="4"/>
  <c r="AR158" i="4" s="1"/>
  <c r="O158" i="4"/>
  <c r="AK158" i="4"/>
  <c r="AU158" i="4"/>
  <c r="E159" i="4"/>
  <c r="I159" i="4"/>
  <c r="AR159" i="4" s="1"/>
  <c r="O159" i="4"/>
  <c r="AK159" i="4"/>
  <c r="AU159" i="4"/>
  <c r="E160" i="4"/>
  <c r="I160" i="4"/>
  <c r="AR160" i="4" s="1"/>
  <c r="O160" i="4"/>
  <c r="AK160" i="4"/>
  <c r="AU160" i="4"/>
  <c r="E161" i="4"/>
  <c r="I161" i="4"/>
  <c r="AR161" i="4" s="1"/>
  <c r="O161" i="4"/>
  <c r="AK161" i="4"/>
  <c r="AU161" i="4"/>
  <c r="E162" i="4"/>
  <c r="I162" i="4"/>
  <c r="AR162" i="4" s="1"/>
  <c r="O162" i="4"/>
  <c r="AK162" i="4"/>
  <c r="AU162" i="4"/>
  <c r="E163" i="4"/>
  <c r="I163" i="4"/>
  <c r="AR163" i="4" s="1"/>
  <c r="O163" i="4"/>
  <c r="AK163" i="4"/>
  <c r="AU163" i="4"/>
  <c r="E164" i="4"/>
  <c r="I164" i="4"/>
  <c r="AR164" i="4" s="1"/>
  <c r="O164" i="4"/>
  <c r="AK164" i="4"/>
  <c r="AU164" i="4"/>
  <c r="E165" i="4"/>
  <c r="I165" i="4"/>
  <c r="AR165" i="4" s="1"/>
  <c r="O165" i="4"/>
  <c r="AK165" i="4"/>
  <c r="AU165" i="4"/>
  <c r="E166" i="4"/>
  <c r="I166" i="4"/>
  <c r="AR166" i="4" s="1"/>
  <c r="O166" i="4"/>
  <c r="AK166" i="4"/>
  <c r="AU166" i="4"/>
  <c r="E167" i="4"/>
  <c r="I167" i="4"/>
  <c r="AR167" i="4" s="1"/>
  <c r="O167" i="4"/>
  <c r="AK167" i="4"/>
  <c r="AU167" i="4"/>
  <c r="E168" i="4"/>
  <c r="I168" i="4"/>
  <c r="AR168" i="4" s="1"/>
  <c r="O168" i="4"/>
  <c r="AK168" i="4"/>
  <c r="AU168" i="4"/>
  <c r="E169" i="4"/>
  <c r="I169" i="4"/>
  <c r="AR169" i="4" s="1"/>
  <c r="O169" i="4"/>
  <c r="AK169" i="4"/>
  <c r="AU169" i="4"/>
  <c r="E170" i="4"/>
  <c r="I170" i="4"/>
  <c r="AR170" i="4" s="1"/>
  <c r="O170" i="4"/>
  <c r="AK170" i="4"/>
  <c r="AU170" i="4"/>
  <c r="E171" i="4"/>
  <c r="I171" i="4"/>
  <c r="AR171" i="4" s="1"/>
  <c r="O171" i="4"/>
  <c r="AK171" i="4"/>
  <c r="AU171" i="4"/>
  <c r="E172" i="4"/>
  <c r="I172" i="4"/>
  <c r="AR172" i="4" s="1"/>
  <c r="O172" i="4"/>
  <c r="AK172" i="4"/>
  <c r="AU172" i="4"/>
  <c r="E173" i="4"/>
  <c r="I173" i="4"/>
  <c r="AR173" i="4" s="1"/>
  <c r="O173" i="4"/>
  <c r="AK173" i="4"/>
  <c r="AU173" i="4"/>
  <c r="E174" i="4"/>
  <c r="I174" i="4"/>
  <c r="AR174" i="4" s="1"/>
  <c r="O174" i="4"/>
  <c r="AK174" i="4"/>
  <c r="AU174" i="4"/>
  <c r="E175" i="4"/>
  <c r="I175" i="4"/>
  <c r="AR175" i="4" s="1"/>
  <c r="O175" i="4"/>
  <c r="AK175" i="4"/>
  <c r="AU175" i="4"/>
  <c r="E176" i="4"/>
  <c r="I176" i="4"/>
  <c r="AR176" i="4" s="1"/>
  <c r="O176" i="4"/>
  <c r="AK176" i="4"/>
  <c r="AU176" i="4"/>
  <c r="E177" i="4"/>
  <c r="I177" i="4"/>
  <c r="AR177" i="4" s="1"/>
  <c r="O177" i="4"/>
  <c r="AK177" i="4"/>
  <c r="AU177" i="4"/>
  <c r="E178" i="4"/>
  <c r="I178" i="4"/>
  <c r="AR178" i="4" s="1"/>
  <c r="O178" i="4"/>
  <c r="AK178" i="4"/>
  <c r="AU178" i="4"/>
  <c r="E179" i="4"/>
  <c r="I179" i="4"/>
  <c r="AR179" i="4" s="1"/>
  <c r="O179" i="4"/>
  <c r="AK179" i="4"/>
  <c r="AU179" i="4"/>
  <c r="E180" i="4"/>
  <c r="I180" i="4"/>
  <c r="AR180" i="4" s="1"/>
  <c r="O180" i="4"/>
  <c r="AK180" i="4"/>
  <c r="AU180" i="4"/>
  <c r="E72" i="2"/>
  <c r="E52" i="2"/>
  <c r="E51" i="2"/>
  <c r="C15" i="6"/>
  <c r="C303" i="6"/>
  <c r="C302" i="6"/>
  <c r="C299" i="6"/>
  <c r="C298" i="6"/>
  <c r="C297" i="6"/>
  <c r="C296" i="6"/>
  <c r="C283" i="6"/>
  <c r="C282" i="6"/>
  <c r="C280" i="6"/>
  <c r="C279" i="6"/>
  <c r="C278" i="6"/>
  <c r="C277" i="6"/>
  <c r="C275" i="6"/>
  <c r="C274" i="6"/>
  <c r="C273" i="6"/>
  <c r="C272" i="6"/>
  <c r="C270" i="6"/>
  <c r="C269" i="6"/>
  <c r="C268" i="6"/>
  <c r="C267" i="6"/>
  <c r="C265" i="6"/>
  <c r="C264" i="6"/>
  <c r="C263" i="6"/>
  <c r="C262" i="6"/>
  <c r="C260" i="6"/>
  <c r="C259" i="6"/>
  <c r="C258" i="6"/>
  <c r="C257" i="6"/>
  <c r="C255" i="6"/>
  <c r="C254" i="6"/>
  <c r="C253" i="6"/>
  <c r="C252" i="6"/>
  <c r="C250" i="6"/>
  <c r="C249" i="6"/>
  <c r="C248" i="6"/>
  <c r="C247" i="6"/>
  <c r="C245" i="6"/>
  <c r="C244" i="6"/>
  <c r="C243" i="6"/>
  <c r="C242" i="6"/>
  <c r="C240" i="6"/>
  <c r="C239" i="6"/>
  <c r="C238" i="6"/>
  <c r="C237" i="6"/>
  <c r="C235" i="6"/>
  <c r="C234" i="6"/>
  <c r="C233" i="6"/>
  <c r="C232" i="6"/>
  <c r="C230" i="6"/>
  <c r="C229" i="6"/>
  <c r="C228" i="6"/>
  <c r="C227" i="6"/>
  <c r="C225" i="6"/>
  <c r="C224" i="6"/>
  <c r="C223" i="6"/>
  <c r="C222" i="6"/>
  <c r="C220" i="6"/>
  <c r="C219" i="6"/>
  <c r="C218" i="6"/>
  <c r="C217" i="6"/>
  <c r="C215" i="6"/>
  <c r="C214" i="6"/>
  <c r="C213" i="6"/>
  <c r="C212" i="6"/>
  <c r="C210" i="6"/>
  <c r="C209" i="6"/>
  <c r="C208" i="6"/>
  <c r="C207" i="6"/>
  <c r="C205" i="6"/>
  <c r="C204" i="6"/>
  <c r="C203" i="6"/>
  <c r="C202" i="6"/>
  <c r="C200" i="6"/>
  <c r="C199" i="6"/>
  <c r="C198" i="6"/>
  <c r="C197" i="6"/>
  <c r="C195" i="6"/>
  <c r="C194" i="6"/>
  <c r="C193" i="6"/>
  <c r="C192" i="6"/>
  <c r="C190" i="6"/>
  <c r="C189" i="6"/>
  <c r="C188" i="6"/>
  <c r="C187" i="6"/>
  <c r="C185" i="6"/>
  <c r="C184" i="6"/>
  <c r="C183" i="6"/>
  <c r="C182" i="6"/>
  <c r="C180" i="6"/>
  <c r="C179" i="6"/>
  <c r="C178" i="6"/>
  <c r="C177" i="6"/>
  <c r="C175" i="6"/>
  <c r="C174" i="6"/>
  <c r="C173" i="6"/>
  <c r="C172" i="6"/>
  <c r="C170" i="6"/>
  <c r="C169" i="6"/>
  <c r="C168" i="6"/>
  <c r="C167" i="6"/>
  <c r="C165" i="6"/>
  <c r="C164" i="6"/>
  <c r="C163" i="6"/>
  <c r="C162" i="6"/>
  <c r="C160" i="6"/>
  <c r="C159" i="6"/>
  <c r="C158" i="6"/>
  <c r="C157" i="6"/>
  <c r="C155" i="6"/>
  <c r="C154" i="6"/>
  <c r="C153" i="6"/>
  <c r="C152" i="6"/>
  <c r="C150" i="6"/>
  <c r="C149" i="6"/>
  <c r="C148" i="6"/>
  <c r="C147" i="6"/>
  <c r="C145" i="6"/>
  <c r="C144" i="6"/>
  <c r="C143" i="6"/>
  <c r="C142" i="6"/>
  <c r="C140" i="6"/>
  <c r="C139" i="6"/>
  <c r="C138" i="6"/>
  <c r="C137" i="6"/>
  <c r="C135" i="6"/>
  <c r="C134" i="6"/>
  <c r="C133" i="6"/>
  <c r="C132" i="6"/>
  <c r="C125" i="6"/>
  <c r="C124" i="6"/>
  <c r="C123" i="6"/>
  <c r="C122" i="6"/>
  <c r="C121" i="6"/>
  <c r="C120" i="6"/>
  <c r="C117" i="6"/>
  <c r="C116" i="6"/>
  <c r="C115" i="6"/>
  <c r="C114" i="6"/>
  <c r="C113" i="6"/>
  <c r="C111" i="6"/>
  <c r="C107" i="6"/>
  <c r="C106" i="6"/>
  <c r="C108" i="6"/>
  <c r="C105" i="6"/>
  <c r="C104" i="6"/>
  <c r="C102" i="6"/>
  <c r="C101" i="6"/>
  <c r="C95" i="6"/>
  <c r="C94" i="6"/>
  <c r="C93" i="6"/>
  <c r="C92" i="6"/>
  <c r="C91" i="6"/>
  <c r="C90" i="6"/>
  <c r="C89" i="6"/>
  <c r="C88" i="6"/>
  <c r="C87" i="6"/>
  <c r="C86" i="6"/>
  <c r="C85" i="6"/>
  <c r="C84" i="6"/>
  <c r="C83" i="6"/>
  <c r="C82" i="6"/>
  <c r="C81" i="6"/>
  <c r="C80" i="6"/>
  <c r="C79" i="6"/>
  <c r="C78" i="6"/>
  <c r="C77" i="6"/>
  <c r="C76" i="6"/>
  <c r="C75" i="6"/>
  <c r="C74" i="6"/>
  <c r="C73" i="6"/>
  <c r="C72" i="6"/>
  <c r="C71" i="6"/>
  <c r="C70" i="6"/>
  <c r="C66" i="6"/>
  <c r="C65" i="6"/>
  <c r="C64" i="6"/>
  <c r="C63" i="6"/>
  <c r="C62" i="6"/>
  <c r="C61" i="6"/>
  <c r="C60" i="6"/>
  <c r="C59" i="6"/>
  <c r="C58" i="6"/>
  <c r="C57" i="6"/>
  <c r="C56" i="6"/>
  <c r="C55" i="6"/>
  <c r="C54" i="6"/>
  <c r="C53" i="6"/>
  <c r="C52" i="6"/>
  <c r="C51" i="6"/>
  <c r="C45" i="6"/>
  <c r="C37" i="6"/>
  <c r="C34" i="6"/>
  <c r="C33" i="6"/>
  <c r="C32" i="6"/>
  <c r="C31" i="6"/>
  <c r="C30" i="6"/>
  <c r="C29" i="6"/>
  <c r="C28" i="6"/>
  <c r="C22" i="6"/>
  <c r="C21" i="6"/>
  <c r="C17" i="6"/>
  <c r="C16" i="6"/>
</calcChain>
</file>

<file path=xl/sharedStrings.xml><?xml version="1.0" encoding="utf-8"?>
<sst xmlns="http://schemas.openxmlformats.org/spreadsheetml/2006/main" count="2092" uniqueCount="1052">
  <si>
    <r>
      <rPr>
        <sz val="10"/>
        <rFont val="ＭＳ Ｐゴシック"/>
        <family val="3"/>
        <charset val="128"/>
        <scheme val="minor"/>
      </rPr>
      <t>申込者様→新電元工業株式会社</t>
    </r>
    <rPh sb="0" eb="2">
      <t>モウシコミ</t>
    </rPh>
    <rPh sb="2" eb="3">
      <t>シャ</t>
    </rPh>
    <rPh sb="3" eb="4">
      <t>サマ</t>
    </rPh>
    <rPh sb="5" eb="8">
      <t>シンデンゲン</t>
    </rPh>
    <rPh sb="8" eb="10">
      <t>コウギョウ</t>
    </rPh>
    <rPh sb="10" eb="14">
      <t>カブシキガイシャ</t>
    </rPh>
    <phoneticPr fontId="1"/>
  </si>
  <si>
    <t>出力制御ユニット・監視装置　製造番号</t>
  </si>
  <si>
    <t>MACアドレス</t>
  </si>
  <si>
    <t>郵便番号</t>
  </si>
  <si>
    <t>電話番号</t>
  </si>
  <si>
    <t>住所フリガナ</t>
  </si>
  <si>
    <t>住所</t>
  </si>
  <si>
    <t>個人・法人</t>
  </si>
  <si>
    <t>会社名及び部署名フリガナ</t>
  </si>
  <si>
    <t>会社名及び部署名</t>
  </si>
  <si>
    <t>ご担当者様名フリガナ</t>
  </si>
  <si>
    <t>ご担当者様名</t>
  </si>
  <si>
    <t>メールアドレス</t>
  </si>
  <si>
    <t>オーナー様氏名又は担当部署名</t>
  </si>
  <si>
    <t>設置（予定）日</t>
  </si>
  <si>
    <t>系統連系（予定）日</t>
  </si>
  <si>
    <t>電気方式</t>
  </si>
  <si>
    <t>売電単価</t>
  </si>
  <si>
    <t>太陽光パネルメーカ</t>
  </si>
  <si>
    <t>太陽光パネル型式</t>
  </si>
  <si>
    <t>日射計設置有無</t>
  </si>
  <si>
    <t>出力制御</t>
  </si>
  <si>
    <t>発電所ＩＤ</t>
  </si>
  <si>
    <t>変化レート</t>
  </si>
  <si>
    <t>お客様→新電元工業株式会社</t>
    <phoneticPr fontId="4"/>
  </si>
  <si>
    <t>SOLGRID MANAGER 現地初期設定サービス 事前確認書</t>
    <phoneticPr fontId="4"/>
  </si>
  <si>
    <t>※現地初期設定のお問合せ先</t>
    <phoneticPr fontId="4"/>
  </si>
  <si>
    <t>新電元工業株式会社</t>
    <phoneticPr fontId="4"/>
  </si>
  <si>
    <t>保守サービス運用担当</t>
    <phoneticPr fontId="4"/>
  </si>
  <si>
    <t>TEL:0120-055-595</t>
  </si>
  <si>
    <t>１．契約基礎情報</t>
    <phoneticPr fontId="4"/>
  </si>
  <si>
    <t>お申込み監視サービス種別</t>
    <phoneticPr fontId="4"/>
  </si>
  <si>
    <t>SOLGRID MANAGER　製造番号</t>
    <phoneticPr fontId="4"/>
  </si>
  <si>
    <t>２．注意事項／お願い事項の同意</t>
    <phoneticPr fontId="4"/>
  </si>
  <si>
    <t>３．詳細設定情報</t>
    <phoneticPr fontId="4"/>
  </si>
  <si>
    <t>No.</t>
  </si>
  <si>
    <t>項目</t>
  </si>
  <si>
    <t>初期値</t>
  </si>
  <si>
    <t>回答欄（希望値）</t>
  </si>
  <si>
    <t>備考</t>
  </si>
  <si>
    <t>IPアドレス設定</t>
  </si>
  <si>
    <t>IPアドレス(SOLGRID MANAGER側)</t>
  </si>
  <si>
    <t>192.168.1.100</t>
  </si>
  <si>
    <t>記載が無い場合は初期値またはパーソナルコンピュータ側に合わせた値に設定します。</t>
  </si>
  <si>
    <t>サブネットマスク(SOLGRID MANAGER側)</t>
  </si>
  <si>
    <t>255.255.255.0</t>
  </si>
  <si>
    <t>IPアドレス(パーソナルコンピュータ側)</t>
  </si>
  <si>
    <t>―</t>
    <phoneticPr fontId="4"/>
  </si>
  <si>
    <t>記載が無い場合は『192.168.1.254』に設定します。</t>
  </si>
  <si>
    <t>サブネットマスク(パーソナルコンピュータ側)</t>
  </si>
  <si>
    <t>―</t>
    <phoneticPr fontId="4"/>
  </si>
  <si>
    <t>記載が無い場合は『255.255.255.0』に設定します。</t>
  </si>
  <si>
    <t>基本情報設定</t>
  </si>
  <si>
    <t>ユーザー名</t>
  </si>
  <si>
    <t>空白（未設定）</t>
  </si>
  <si>
    <t>記載が無い場合はSOLGRID MANAGER 太陽光発電用監視サービス登録書の『統括事業者名称』に設定します。</t>
  </si>
  <si>
    <t>サイト名</t>
  </si>
  <si>
    <t>記載が無い場合はSOLGRID MANAGER 太陽光発電用監視サービス登録書の『発電所名称』に設定します。</t>
  </si>
  <si>
    <t>記載が無い場合はSOLGRID MANAGER 太陽光発電用監視サービス登録書の『設置住所』に設定します。</t>
  </si>
  <si>
    <t>管理者</t>
  </si>
  <si>
    <t>記載が無い場合はSOLGRID MANAGER 太陽光発電用監視サービス登録書の『保守責任事業者』に設定します。</t>
  </si>
  <si>
    <t>一般ユーザログインパスワード</t>
  </si>
  <si>
    <t>記載が無い場合は初期値のままになります。</t>
  </si>
  <si>
    <t>保守・管理者ログインパスワード</t>
  </si>
  <si>
    <t>電力サーバ設定</t>
  </si>
  <si>
    <t>スケジュール取得先選択</t>
  </si>
  <si>
    <t>無し</t>
  </si>
  <si>
    <t>発電所ID</t>
  </si>
  <si>
    <t>メール宛先設定</t>
  </si>
  <si>
    <t>送信先メールアドレス01</t>
  </si>
  <si>
    <t>空白</t>
  </si>
  <si>
    <t>送信先メールアドレス02</t>
  </si>
  <si>
    <t>送信先メールアドレス03</t>
  </si>
  <si>
    <t>送信先メールアドレス04</t>
  </si>
  <si>
    <t>送信先メールアドレス05</t>
  </si>
  <si>
    <t>送信先メールアドレス06</t>
  </si>
  <si>
    <t>送信先メールアドレス07</t>
  </si>
  <si>
    <t>送信先メールアドレス08</t>
  </si>
  <si>
    <t>送信先メールアドレス09</t>
  </si>
  <si>
    <t>送信先メールアドレス10</t>
  </si>
  <si>
    <t>統計情報メール送信時刻(時)</t>
  </si>
  <si>
    <t>4～12の数字を記載願います。　記載が無い場合は初期値のままになります。</t>
  </si>
  <si>
    <t>メール通知設定</t>
  </si>
  <si>
    <t>統計情報メール通知設定(日報送信)</t>
  </si>
  <si>
    <t>チェックなし</t>
  </si>
  <si>
    <t>チェックが無い場合は初期値のままになります。</t>
  </si>
  <si>
    <t>統計情報メール通知設定(月報送信)</t>
  </si>
  <si>
    <t>統計情報メール通知設定(年報送信)</t>
  </si>
  <si>
    <t>PCS故障メール通知設定(出力制御中)</t>
  </si>
  <si>
    <t>メンテナンス時期お知らせ</t>
  </si>
  <si>
    <t>次回メンテナンス日時</t>
  </si>
  <si>
    <t>無効</t>
  </si>
  <si>
    <t>チェックが無い場合は初期値のままになります。　設定する場合は希望年月日時も記載願います。</t>
  </si>
  <si>
    <t>※希望年月日時：</t>
  </si>
  <si>
    <t>設定希望で年月日時の記載が無い場合は初期設定サービス実施日から1年後の年月日時に設定します。</t>
  </si>
  <si>
    <t>通知間隔（年）</t>
  </si>
  <si>
    <t>0～10の数字を記載願います。　記載が無い場合は初期値のままになります。</t>
  </si>
  <si>
    <t>通知間隔（月）</t>
  </si>
  <si>
    <t>0～11の数字を記載願います。　記載が無い場合は初期値のままになります。</t>
  </si>
  <si>
    <t>内容</t>
  </si>
  <si>
    <t>回答欄</t>
  </si>
  <si>
    <t>場所が特定できる地図（住所のみでは場所が特定できない場合があるため）</t>
  </si>
  <si>
    <r>
      <t xml:space="preserve">左記の必要書類は、本事前確認書と一緒にＰＤＦ等でメール送信願います。
※送信先アドレス：pvservice@shindengen.co.jp
</t>
    </r>
    <r>
      <rPr>
        <sz val="10"/>
        <color rgb="FFFF0000"/>
        <rFont val="Meiryo UI"/>
        <family val="3"/>
        <charset val="128"/>
      </rPr>
      <t>書類は全て必要</t>
    </r>
    <r>
      <rPr>
        <sz val="10"/>
        <color theme="1"/>
        <rFont val="Meiryo UI"/>
        <family val="3"/>
        <charset val="128"/>
      </rPr>
      <t>になりますので、”無し”の場合は別途ご相談させて頂きます。</t>
    </r>
    <phoneticPr fontId="4"/>
  </si>
  <si>
    <t>全体配置図（PCS設置位置が分かるもの）</t>
    <phoneticPr fontId="4"/>
  </si>
  <si>
    <t>単線結線図</t>
    <phoneticPr fontId="4"/>
  </si>
  <si>
    <t>架台仕様書</t>
    <phoneticPr fontId="4"/>
  </si>
  <si>
    <t>パネルモジュール・分電盤、接続箱、集電箱の各種ブレーカの仕様書又は取扱説明書</t>
    <phoneticPr fontId="4"/>
  </si>
  <si>
    <t>竣工検査表</t>
    <phoneticPr fontId="4"/>
  </si>
  <si>
    <t>設備認定通知書</t>
    <phoneticPr fontId="4"/>
  </si>
  <si>
    <t>電力会社へ提出した資料（発電所ＩＤが分かるもの）</t>
    <phoneticPr fontId="4"/>
  </si>
  <si>
    <t>パワーコンディショナの整定値一覧</t>
    <phoneticPr fontId="4"/>
  </si>
  <si>
    <t>発電所の写真（設置環境の分かるもの）</t>
    <phoneticPr fontId="4"/>
  </si>
  <si>
    <t>住所</t>
    <phoneticPr fontId="4"/>
  </si>
  <si>
    <t>お客様へ</t>
    <rPh sb="1" eb="3">
      <t>キャクサマ</t>
    </rPh>
    <phoneticPr fontId="16"/>
  </si>
  <si>
    <t>『遠隔初期設定サービス開始までの流れ』</t>
    <rPh sb="11" eb="13">
      <t>カイシ</t>
    </rPh>
    <rPh sb="16" eb="17">
      <t>ナガ</t>
    </rPh>
    <phoneticPr fontId="16"/>
  </si>
  <si>
    <t>お客様→新電元工業株式会社</t>
    <phoneticPr fontId="4"/>
  </si>
  <si>
    <t>SOLGRID MANAGER 遠隔初期設定サービス 事前確認書</t>
    <rPh sb="16" eb="18">
      <t>エンカク</t>
    </rPh>
    <phoneticPr fontId="4"/>
  </si>
  <si>
    <t>※遠隔初期設定のお問合せ先</t>
  </si>
  <si>
    <t>新電元工業株式会社</t>
  </si>
  <si>
    <t>保守サービス運用担当</t>
    <phoneticPr fontId="4"/>
  </si>
  <si>
    <t>E-ｍail：pvservice2@shindengen.co.jp</t>
  </si>
  <si>
    <t>SOLGRID MANAGER　製造番号</t>
    <phoneticPr fontId="4"/>
  </si>
  <si>
    <t>２．注意事項／お願い事項の同意</t>
    <phoneticPr fontId="4"/>
  </si>
  <si>
    <t>３．詳細設定情報</t>
    <phoneticPr fontId="4"/>
  </si>
  <si>
    <t>PCS接続設定</t>
  </si>
  <si>
    <t>※PCS通信ID：</t>
    <rPh sb="4" eb="6">
      <t>ツウシン</t>
    </rPh>
    <phoneticPr fontId="4"/>
  </si>
  <si>
    <r>
      <t>”入力シート”記載の発電所ＩＤが反映されます。発電所IDが複数ある場合には、枝番No.が小さいものを記載願います。
（修正される場合は、”入力シート”の発電所ＩＤ欄を修正願います。）</t>
    </r>
    <r>
      <rPr>
        <sz val="10"/>
        <color rgb="FFFF0000"/>
        <rFont val="Meiryo UI"/>
        <family val="3"/>
        <charset val="128"/>
      </rPr>
      <t>＊必須項目です</t>
    </r>
    <phoneticPr fontId="4"/>
  </si>
  <si>
    <t>４．サービス実施希望日　等</t>
    <rPh sb="6" eb="8">
      <t>ジッシ</t>
    </rPh>
    <rPh sb="8" eb="11">
      <t>キボウビ</t>
    </rPh>
    <rPh sb="12" eb="13">
      <t>トウ</t>
    </rPh>
    <phoneticPr fontId="4"/>
  </si>
  <si>
    <t>遠隔初期設定サービス実施希望日（年月日）</t>
  </si>
  <si>
    <t>遠隔初期設定サービス実施時間帯</t>
  </si>
  <si>
    <t>遠隔初期設定サービス実施完了連絡先
※緊急時の連絡先としても使用致します</t>
    <phoneticPr fontId="4"/>
  </si>
  <si>
    <t>会社名・部署名</t>
  </si>
  <si>
    <t>氏名</t>
  </si>
  <si>
    <t>TEL（日中連絡が取れる番号）</t>
  </si>
  <si>
    <t>E-mail（日中連絡が取れるアドレス）</t>
  </si>
  <si>
    <t>５．PCS情報</t>
  </si>
  <si>
    <t>PCS</t>
  </si>
  <si>
    <t>区画・番号</t>
  </si>
  <si>
    <t>型名</t>
  </si>
  <si>
    <t>製造番号</t>
  </si>
  <si>
    <t>製造年月</t>
  </si>
  <si>
    <t>接続機種または未接続</t>
  </si>
  <si>
    <t>太陽光パネル</t>
  </si>
  <si>
    <t>PCS定格</t>
  </si>
  <si>
    <t>通信ID</t>
  </si>
  <si>
    <t>(年/月)</t>
  </si>
  <si>
    <t>容量(kW)</t>
  </si>
  <si>
    <t>出力(kW)</t>
  </si>
  <si>
    <t>(min)</t>
  </si>
  <si>
    <t>/</t>
    <phoneticPr fontId="4"/>
  </si>
  <si>
    <t>/</t>
    <phoneticPr fontId="4"/>
  </si>
  <si>
    <t>当社使用欄</t>
  </si>
  <si>
    <t>遠隔初期設定サービス作番</t>
  </si>
  <si>
    <t>項</t>
    <rPh sb="0" eb="1">
      <t>コウ</t>
    </rPh>
    <phoneticPr fontId="4"/>
  </si>
  <si>
    <t>ローカル監視サービス</t>
    <rPh sb="4" eb="6">
      <t>カンシ</t>
    </rPh>
    <phoneticPr fontId="1"/>
  </si>
  <si>
    <t>クラウド監視サービス U-50kW</t>
  </si>
  <si>
    <t>クラウド監視サービス U-150kW</t>
  </si>
  <si>
    <t>クラウド監視サービス U-300kW</t>
  </si>
  <si>
    <t>クラウド監視サービス O-300kW</t>
  </si>
  <si>
    <t>1-1</t>
    <phoneticPr fontId="4"/>
  </si>
  <si>
    <t>1-2</t>
  </si>
  <si>
    <t>1-3</t>
  </si>
  <si>
    <t>1-4</t>
  </si>
  <si>
    <t>2-1</t>
    <phoneticPr fontId="4"/>
  </si>
  <si>
    <t>2-2</t>
  </si>
  <si>
    <t>3-1</t>
    <phoneticPr fontId="4"/>
  </si>
  <si>
    <t>3-2</t>
  </si>
  <si>
    <t>3-3</t>
  </si>
  <si>
    <t>3-4</t>
  </si>
  <si>
    <t>3-5</t>
  </si>
  <si>
    <t>3-6</t>
  </si>
  <si>
    <t>3-7</t>
  </si>
  <si>
    <t>3-8</t>
  </si>
  <si>
    <t>3-9</t>
  </si>
  <si>
    <t>3-10</t>
  </si>
  <si>
    <t>4-2</t>
  </si>
  <si>
    <t>4-3</t>
  </si>
  <si>
    <t>4-4</t>
  </si>
  <si>
    <t>4-5</t>
  </si>
  <si>
    <t>4-6</t>
  </si>
  <si>
    <t>4-7</t>
  </si>
  <si>
    <t>4-8</t>
  </si>
  <si>
    <t>4-9</t>
  </si>
  <si>
    <t>4-10</t>
  </si>
  <si>
    <t>5-1</t>
    <phoneticPr fontId="4"/>
  </si>
  <si>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</si>
  <si>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</si>
  <si>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</si>
  <si>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</si>
  <si>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</si>
  <si>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</si>
  <si>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</si>
  <si>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</si>
  <si>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</si>
  <si>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</si>
  <si>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</si>
  <si>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</si>
  <si>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</si>
  <si>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</si>
  <si>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</si>
  <si>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</si>
  <si>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</si>
  <si>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</si>
  <si>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</si>
  <si>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</si>
  <si>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</si>
  <si>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</si>
  <si>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</si>
  <si>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</si>
  <si>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</si>
  <si>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</si>
  <si>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</si>
  <si>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</si>
  <si>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</si>
  <si>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</si>
  <si>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</si>
  <si>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</si>
  <si>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</si>
  <si>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</si>
  <si>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</si>
  <si>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</si>
  <si>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</si>
  <si>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</si>
  <si>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</si>
  <si>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</si>
  <si>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</si>
  <si>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6-1</t>
    <phoneticPr fontId="4"/>
  </si>
  <si>
    <t>6-2</t>
  </si>
  <si>
    <t>6-3</t>
  </si>
  <si>
    <t>6-4</t>
  </si>
  <si>
    <t>6-5</t>
  </si>
  <si>
    <t>6-6</t>
  </si>
  <si>
    <t>6-7</t>
  </si>
  <si>
    <t>6-8</t>
  </si>
  <si>
    <t>7-1</t>
    <phoneticPr fontId="4"/>
  </si>
  <si>
    <t>8-1</t>
    <phoneticPr fontId="4"/>
  </si>
  <si>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</si>
  <si>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</si>
  <si>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</si>
  <si>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</si>
  <si>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</si>
  <si>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</si>
  <si>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</si>
  <si>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</si>
  <si>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</si>
  <si>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</si>
  <si>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</si>
  <si>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</si>
  <si>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</si>
  <si>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</si>
  <si>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</si>
  <si>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</si>
  <si>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</si>
  <si>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</si>
  <si>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</si>
  <si>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</si>
  <si>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</si>
  <si>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</si>
  <si>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</si>
  <si>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</si>
  <si>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</si>
  <si>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</si>
  <si>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</si>
  <si>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</si>
  <si>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</si>
  <si>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</si>
  <si>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</si>
  <si>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</si>
  <si>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</si>
  <si>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</si>
  <si>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</si>
  <si>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</si>
  <si>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</si>
  <si>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</si>
  <si>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</si>
  <si>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</si>
  <si>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</si>
  <si>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</si>
  <si>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</si>
  <si>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</si>
  <si>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</si>
  <si>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</si>
  <si>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</si>
  <si>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</si>
  <si>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</si>
  <si>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</si>
  <si>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</si>
  <si>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</si>
  <si>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</si>
  <si>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</si>
  <si>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</si>
  <si>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</si>
  <si>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</si>
  <si>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</si>
  <si>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</si>
  <si>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</si>
  <si>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</si>
  <si>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</si>
  <si>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</si>
  <si>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</si>
  <si>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</si>
  <si>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</si>
  <si>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</si>
  <si>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</si>
  <si>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</si>
  <si>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</si>
  <si>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</si>
  <si>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</si>
  <si>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</si>
  <si>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</si>
  <si>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</si>
  <si>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</si>
  <si>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</si>
  <si>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</si>
  <si>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</si>
  <si>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</si>
  <si>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</si>
  <si>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</si>
  <si>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</si>
  <si>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</si>
  <si>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</si>
  <si>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</si>
  <si>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</si>
  <si>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</si>
  <si>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</si>
  <si>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</si>
  <si>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</si>
  <si>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</si>
  <si>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</si>
  <si>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</si>
  <si>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</si>
  <si>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</si>
  <si>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</si>
  <si>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</si>
  <si>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</si>
  <si>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</si>
  <si>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</si>
  <si>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</si>
  <si>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</si>
  <si>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</si>
  <si>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</si>
  <si>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</si>
  <si>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</si>
  <si>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</si>
  <si>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</si>
  <si>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</si>
  <si>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</si>
  <si>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</si>
  <si>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</si>
  <si>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</si>
  <si>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</si>
  <si>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</si>
  <si>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</si>
  <si>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</si>
  <si>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</si>
  <si>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</si>
  <si>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</si>
  <si>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</si>
  <si>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</si>
  <si>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</si>
  <si>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</si>
  <si>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</si>
  <si>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</si>
  <si>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</si>
  <si>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</si>
  <si>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</si>
  <si>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</si>
  <si>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</si>
  <si>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</si>
  <si>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</si>
  <si>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</si>
  <si>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</si>
  <si>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</si>
  <si>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</si>
  <si>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</si>
  <si>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</si>
  <si>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</si>
  <si>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</si>
  <si>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</si>
  <si>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</si>
  <si>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</si>
  <si>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</si>
  <si>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</si>
  <si>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</si>
  <si>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</si>
  <si>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</si>
  <si>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</si>
  <si>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</si>
  <si>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</si>
  <si>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</si>
  <si>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</si>
  <si>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</si>
  <si>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</si>
  <si>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</si>
  <si>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</si>
  <si>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</si>
  <si>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</si>
  <si>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</si>
  <si>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</si>
  <si>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</si>
  <si>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</si>
  <si>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系統連系電力会社</t>
    <phoneticPr fontId="4"/>
  </si>
  <si>
    <t>系統連系電力会社 支店名フリガナ</t>
    <phoneticPr fontId="4"/>
  </si>
  <si>
    <t>系統連系電力会社 支店名</t>
    <phoneticPr fontId="4"/>
  </si>
  <si>
    <t>系統連系電力会社 支店電話番号</t>
    <phoneticPr fontId="4"/>
  </si>
  <si>
    <t>内容</t>
    <phoneticPr fontId="4"/>
  </si>
  <si>
    <t>記入欄</t>
    <rPh sb="0" eb="2">
      <t>キニュウ</t>
    </rPh>
    <rPh sb="2" eb="3">
      <t>ラン</t>
    </rPh>
    <phoneticPr fontId="4"/>
  </si>
  <si>
    <t>住所</t>
    <phoneticPr fontId="4"/>
  </si>
  <si>
    <t>担当者様氏名</t>
    <phoneticPr fontId="4"/>
  </si>
  <si>
    <t>保守サービス運用担当</t>
  </si>
  <si>
    <t>TEL：0120-055-595</t>
  </si>
  <si>
    <t>E-mail：pvservice2@shindengen.co.jp</t>
  </si>
  <si>
    <t>▼お客様⇔当社間で合意した日時に、
　　遠隔初期設定サービスを実施致します。</t>
    <rPh sb="7" eb="8">
      <t>カン</t>
    </rPh>
    <rPh sb="9" eb="11">
      <t>ゴウイ</t>
    </rPh>
    <rPh sb="13" eb="15">
      <t>ニチジ</t>
    </rPh>
    <rPh sb="31" eb="33">
      <t>ジッシ</t>
    </rPh>
    <rPh sb="33" eb="34">
      <t>イタ</t>
    </rPh>
    <phoneticPr fontId="16"/>
  </si>
  <si>
    <t>監視サービス開始予定日　※３</t>
    <phoneticPr fontId="4"/>
  </si>
  <si>
    <t>新電元工業株式会社
監視サービス運用担当
TEL：0120-055-595
E-mail：pvservice@shindengen.co.jp</t>
    <phoneticPr fontId="4"/>
  </si>
  <si>
    <t>統括事業者（発電事業オーナー）名称</t>
    <rPh sb="15" eb="17">
      <t>メイショウ</t>
    </rPh>
    <phoneticPr fontId="4"/>
  </si>
  <si>
    <t>事業名称の登録状況</t>
    <rPh sb="7" eb="9">
      <t>ジョウキョウ</t>
    </rPh>
    <phoneticPr fontId="4"/>
  </si>
  <si>
    <t>事業名称</t>
    <phoneticPr fontId="4"/>
  </si>
  <si>
    <t>統括事業者（発電事業オーナー）名称の登録状況</t>
    <rPh sb="15" eb="17">
      <t>メイショウ</t>
    </rPh>
    <rPh sb="20" eb="22">
      <t>ジョウキョウ</t>
    </rPh>
    <phoneticPr fontId="4"/>
  </si>
  <si>
    <t>次回サービス利用更新年月　※４</t>
    <rPh sb="8" eb="10">
      <t>コウシン</t>
    </rPh>
    <phoneticPr fontId="4"/>
  </si>
  <si>
    <t>オーナー様電話番号　※５</t>
    <phoneticPr fontId="4"/>
  </si>
  <si>
    <t>オーナー様メールアドレス　※５</t>
    <phoneticPr fontId="4"/>
  </si>
  <si>
    <t>保守責任事業者登録状況</t>
    <rPh sb="9" eb="11">
      <t>ジョウキョウ</t>
    </rPh>
    <phoneticPr fontId="4"/>
  </si>
  <si>
    <t>保守責任事業者</t>
    <phoneticPr fontId="4"/>
  </si>
  <si>
    <t>受給最大電力　（単位：kW）</t>
    <rPh sb="8" eb="10">
      <t>タンイ</t>
    </rPh>
    <phoneticPr fontId="4"/>
  </si>
  <si>
    <t>太陽光パネル出力　（単位：W）</t>
    <rPh sb="10" eb="12">
      <t>タンイ</t>
    </rPh>
    <phoneticPr fontId="4"/>
  </si>
  <si>
    <t>接続されるパワーコンディショナ（PCS）台数</t>
    <rPh sb="0" eb="2">
      <t>セツゾク</t>
    </rPh>
    <phoneticPr fontId="4"/>
  </si>
  <si>
    <t>日射計設置PCS　通信IDNo</t>
    <rPh sb="0" eb="2">
      <t>ニッシャ</t>
    </rPh>
    <rPh sb="2" eb="3">
      <t>ケイ</t>
    </rPh>
    <rPh sb="3" eb="5">
      <t>セッチ</t>
    </rPh>
    <rPh sb="9" eb="11">
      <t>ツウシン</t>
    </rPh>
    <phoneticPr fontId="4"/>
  </si>
  <si>
    <t>発電所の出力制御有無</t>
    <rPh sb="0" eb="2">
      <t>ハツデン</t>
    </rPh>
    <rPh sb="2" eb="3">
      <t>ショ</t>
    </rPh>
    <rPh sb="8" eb="10">
      <t>ウム</t>
    </rPh>
    <phoneticPr fontId="4"/>
  </si>
  <si>
    <t>変化レート（出力変化時間　単位：min）</t>
    <rPh sb="6" eb="8">
      <t>シュツリョク</t>
    </rPh>
    <rPh sb="8" eb="10">
      <t>ヘンカ</t>
    </rPh>
    <rPh sb="10" eb="12">
      <t>ジカン</t>
    </rPh>
    <rPh sb="13" eb="15">
      <t>タンイ</t>
    </rPh>
    <phoneticPr fontId="4"/>
  </si>
  <si>
    <t>＜当社使用欄＞</t>
    <rPh sb="1" eb="3">
      <t>トウシャ</t>
    </rPh>
    <rPh sb="3" eb="5">
      <t>シヨウ</t>
    </rPh>
    <rPh sb="5" eb="6">
      <t>ラン</t>
    </rPh>
    <phoneticPr fontId="4"/>
  </si>
  <si>
    <t>２．［サービス開始スケジュール］</t>
    <phoneticPr fontId="4"/>
  </si>
  <si>
    <t>６．［保守責任事業者情報］</t>
    <phoneticPr fontId="4"/>
  </si>
  <si>
    <t>「初期設定サービス」（有料）の案内　要・不要</t>
    <rPh sb="11" eb="13">
      <t>ユウリョウ</t>
    </rPh>
    <phoneticPr fontId="4"/>
  </si>
  <si>
    <t>＜参考＞　『検査成績書』と『物品送付書』</t>
    <phoneticPr fontId="4"/>
  </si>
  <si>
    <t>＜参考＞</t>
    <phoneticPr fontId="4"/>
  </si>
  <si>
    <t>1-5</t>
    <phoneticPr fontId="4"/>
  </si>
  <si>
    <t>2-3</t>
    <phoneticPr fontId="4"/>
  </si>
  <si>
    <t>補足</t>
    <rPh sb="0" eb="2">
      <t>ホソク</t>
    </rPh>
    <phoneticPr fontId="4"/>
  </si>
  <si>
    <t xml:space="preserve">▼当社にて登録完了後、
　遠隔初期設定サービス実施日の連絡をいたします。
　　※TEL又はE-mailにて作業可能日の連絡を差し上げます。
</t>
    <rPh sb="1" eb="3">
      <t>トウシャ</t>
    </rPh>
    <rPh sb="5" eb="7">
      <t>トウロク</t>
    </rPh>
    <rPh sb="7" eb="9">
      <t>カンリョウ</t>
    </rPh>
    <rPh sb="9" eb="10">
      <t>ゴ</t>
    </rPh>
    <rPh sb="23" eb="26">
      <t>ジッシビ</t>
    </rPh>
    <rPh sb="27" eb="29">
      <t>レンラク</t>
    </rPh>
    <rPh sb="43" eb="44">
      <t>マタ</t>
    </rPh>
    <phoneticPr fontId="16"/>
  </si>
  <si>
    <t>5-9,5-10項の位置情報 測地系</t>
    <rPh sb="8" eb="9">
      <t>コウ</t>
    </rPh>
    <rPh sb="10" eb="12">
      <t>イチ</t>
    </rPh>
    <rPh sb="12" eb="14">
      <t>ジョウホウ</t>
    </rPh>
    <phoneticPr fontId="4"/>
  </si>
  <si>
    <t>系統連系電力会社</t>
  </si>
  <si>
    <t>系統連系電力会社 支店名フリガナ</t>
  </si>
  <si>
    <t>系統連系電力会社 支店名</t>
  </si>
  <si>
    <t>系統連系電力会社 支店電話番号</t>
  </si>
  <si>
    <t>事業名称</t>
  </si>
  <si>
    <t>案内のお届け先</t>
  </si>
  <si>
    <t>お届け先会社名（フリガナ）</t>
  </si>
  <si>
    <t>お届け先会社名</t>
  </si>
  <si>
    <t>４．［お申込者情報］</t>
    <phoneticPr fontId="4"/>
  </si>
  <si>
    <t>８．［太陽光発電システムの情報］</t>
    <phoneticPr fontId="4"/>
  </si>
  <si>
    <t>７．［当社からの異常通知／レポート送付先について］</t>
    <phoneticPr fontId="4"/>
  </si>
  <si>
    <t>統合先出力制御ユニット・監視装置　製造番号</t>
    <phoneticPr fontId="4"/>
  </si>
  <si>
    <t>通信方式</t>
    <phoneticPr fontId="4"/>
  </si>
  <si>
    <t>監視サービス開始予定日</t>
    <phoneticPr fontId="4"/>
  </si>
  <si>
    <t>次回サービス利用更新年月</t>
    <rPh sb="8" eb="10">
      <t>コウシン</t>
    </rPh>
    <phoneticPr fontId="4"/>
  </si>
  <si>
    <t>通信用SIMカード　お届け希望日</t>
    <phoneticPr fontId="4"/>
  </si>
  <si>
    <t>オーナー様電話番号</t>
    <phoneticPr fontId="4"/>
  </si>
  <si>
    <t>電話番号</t>
    <phoneticPr fontId="4"/>
  </si>
  <si>
    <t>メールアドレス</t>
    <phoneticPr fontId="4"/>
  </si>
  <si>
    <t>異常検知通知、発電量／見守りレポート送付先</t>
    <rPh sb="18" eb="20">
      <t>ソウフ</t>
    </rPh>
    <rPh sb="20" eb="21">
      <t>サキ</t>
    </rPh>
    <phoneticPr fontId="4"/>
  </si>
  <si>
    <t>１．［契約基礎情報］</t>
    <phoneticPr fontId="4"/>
  </si>
  <si>
    <t>５．［発電所情報］</t>
    <phoneticPr fontId="4"/>
  </si>
  <si>
    <t>太陽光発電システム 引込柱</t>
  </si>
  <si>
    <t>太陽光発電システム 引込柱</t>
    <phoneticPr fontId="4"/>
  </si>
  <si>
    <t>太陽光発電システム 設置住所フリガナ</t>
  </si>
  <si>
    <t>太陽光発電システム 設置住所フリガナ</t>
    <phoneticPr fontId="4"/>
  </si>
  <si>
    <t>太陽光発電システム 設置住所</t>
  </si>
  <si>
    <t>太陽光発電システム 設置住所</t>
    <phoneticPr fontId="4"/>
  </si>
  <si>
    <t>設置（予定）日</t>
    <phoneticPr fontId="4"/>
  </si>
  <si>
    <t>パネル方位角　（単位：度）</t>
    <rPh sb="8" eb="10">
      <t>タンイ</t>
    </rPh>
    <rPh sb="11" eb="12">
      <t>ド</t>
    </rPh>
    <phoneticPr fontId="4"/>
  </si>
  <si>
    <t>パネル傾斜角　（単位：度）</t>
  </si>
  <si>
    <t>ご担当者様名（フリガナ）</t>
    <rPh sb="4" eb="5">
      <t>サマ</t>
    </rPh>
    <phoneticPr fontId="4"/>
  </si>
  <si>
    <t>ご担当者様名</t>
    <rPh sb="4" eb="5">
      <t>サマ</t>
    </rPh>
    <phoneticPr fontId="4"/>
  </si>
  <si>
    <t>太陽光発電システム 設置場所 郵便番号</t>
  </si>
  <si>
    <t>太陽光発電システム 設置場所 郵便番号</t>
    <phoneticPr fontId="4"/>
  </si>
  <si>
    <t>太陽光発電システム 設置位置情報 （緯度）</t>
    <rPh sb="10" eb="12">
      <t>セッチ</t>
    </rPh>
    <phoneticPr fontId="4"/>
  </si>
  <si>
    <t>太陽光発電システム 設置位置情報 （経度）</t>
    <rPh sb="10" eb="12">
      <t>セッチ</t>
    </rPh>
    <phoneticPr fontId="4"/>
  </si>
  <si>
    <t>登録可能な文字数は全角カナ２０文字以内</t>
    <rPh sb="0" eb="2">
      <t>トウロク</t>
    </rPh>
    <rPh sb="2" eb="4">
      <t>カノウ</t>
    </rPh>
    <rPh sb="5" eb="8">
      <t>モジスウ</t>
    </rPh>
    <rPh sb="18" eb="19">
      <t>ナイ</t>
    </rPh>
    <phoneticPr fontId="4"/>
  </si>
  <si>
    <t>登録可能な文字数は全角２０文字以内</t>
    <rPh sb="0" eb="2">
      <t>トウロク</t>
    </rPh>
    <rPh sb="2" eb="4">
      <t>カノウ</t>
    </rPh>
    <rPh sb="5" eb="8">
      <t>モジスウ</t>
    </rPh>
    <rPh sb="16" eb="17">
      <t>ナイ</t>
    </rPh>
    <phoneticPr fontId="4"/>
  </si>
  <si>
    <t>00A06C</t>
    <phoneticPr fontId="4"/>
  </si>
  <si>
    <t>4-1</t>
  </si>
  <si>
    <t>1-3</t>
    <phoneticPr fontId="4"/>
  </si>
  <si>
    <r>
      <t>４．［お申込者情報］</t>
    </r>
    <r>
      <rPr>
        <sz val="12"/>
        <color theme="1"/>
        <rFont val="ＭＳ Ｐゴシック"/>
        <family val="3"/>
        <charset val="128"/>
        <scheme val="minor"/>
      </rPr>
      <t>　★本登録書に関する問い合わせ等に使用させて頂きます。</t>
    </r>
    <phoneticPr fontId="4"/>
  </si>
  <si>
    <r>
      <t>５．［発電所情報］</t>
    </r>
    <r>
      <rPr>
        <sz val="12"/>
        <color theme="1"/>
        <rFont val="ＭＳ Ｐゴシック"/>
        <family val="3"/>
        <charset val="128"/>
        <scheme val="minor"/>
      </rPr>
      <t>　★右枠外の＜参考＞をご確認の上記入願います。</t>
    </r>
    <phoneticPr fontId="4"/>
  </si>
  <si>
    <r>
      <t>８．［太陽光発電システムの情報］</t>
    </r>
    <r>
      <rPr>
        <sz val="12"/>
        <color theme="1"/>
        <rFont val="ＭＳ Ｐゴシック"/>
        <family val="3"/>
        <charset val="128"/>
        <scheme val="minor"/>
      </rPr>
      <t>　★右枠外の＜参考＞をご確認の上記入願います。</t>
    </r>
    <phoneticPr fontId="4"/>
  </si>
  <si>
    <t>通信方式</t>
    <phoneticPr fontId="4"/>
  </si>
  <si>
    <t>ご担当者様名フリガナ</t>
    <phoneticPr fontId="4"/>
  </si>
  <si>
    <t>MID(A1,1,1)*1</t>
  </si>
  <si>
    <t>MID(A1,2,1)*3</t>
  </si>
  <si>
    <t>MID(A1,3,1)*5</t>
  </si>
  <si>
    <t>MID(A1,4,1)*7</t>
  </si>
  <si>
    <t>MID(A1,5,1)*9</t>
  </si>
  <si>
    <t>MID(A1,6,1)*1</t>
  </si>
  <si>
    <t>MID(A1,7,1)*3</t>
  </si>
  <si>
    <t>MID(A1,8,1)*5</t>
  </si>
  <si>
    <t>MID(A1,9,1)*7</t>
  </si>
  <si>
    <t>MID(A1,10,1)*9</t>
  </si>
  <si>
    <t>MID(A1,11,1)*1</t>
  </si>
  <si>
    <t>MID(A1,12,1)*3</t>
  </si>
  <si>
    <t>MID(A1,13,1)*5</t>
  </si>
  <si>
    <t>MID(A1,14,1)*7</t>
  </si>
  <si>
    <t>MID(A1,15,1)*9</t>
  </si>
  <si>
    <t>MID(A1,16,1)*1</t>
  </si>
  <si>
    <t>MID(A1,17,1)*3</t>
  </si>
  <si>
    <t>MID(A1,18,1)*5</t>
  </si>
  <si>
    <t>MID(A1,19,1)*7</t>
  </si>
  <si>
    <t>MID(A1,20,1)*9</t>
  </si>
  <si>
    <t>MID(A1,21,1)*1</t>
  </si>
  <si>
    <t>MID(A1,22,1)*3</t>
  </si>
  <si>
    <t>MID(A1,23,1)*5</t>
  </si>
  <si>
    <t>MID(A1,24,1)*7</t>
  </si>
  <si>
    <t>MID(A1,25,1)*9</t>
  </si>
  <si>
    <t>登録書記載ＩＤの左から25桁　⇒</t>
    <rPh sb="0" eb="2">
      <t>トウロク</t>
    </rPh>
    <rPh sb="2" eb="3">
      <t>ショ</t>
    </rPh>
    <rPh sb="3" eb="5">
      <t>キサイ</t>
    </rPh>
    <rPh sb="8" eb="9">
      <t>ヒダリ</t>
    </rPh>
    <rPh sb="13" eb="14">
      <t>ケタ</t>
    </rPh>
    <phoneticPr fontId="4"/>
  </si>
  <si>
    <t>チェックサム追加26桁　⇒</t>
    <rPh sb="6" eb="8">
      <t>ツイカ</t>
    </rPh>
    <rPh sb="10" eb="11">
      <t>ケタ</t>
    </rPh>
    <phoneticPr fontId="4"/>
  </si>
  <si>
    <t>（ダミー列）</t>
    <rPh sb="4" eb="5">
      <t>レツ</t>
    </rPh>
    <phoneticPr fontId="4"/>
  </si>
  <si>
    <t>↓</t>
    <phoneticPr fontId="4"/>
  </si>
  <si>
    <r>
      <rPr>
        <b/>
        <sz val="11"/>
        <color rgb="FF0000FF"/>
        <rFont val="ＭＳ Ｐゴシック"/>
        <family val="3"/>
        <charset val="128"/>
        <scheme val="minor"/>
      </rPr>
      <t>SIMカード方式</t>
    </r>
    <r>
      <rPr>
        <sz val="11"/>
        <color theme="1"/>
        <rFont val="ＭＳ Ｐゴシック"/>
        <family val="3"/>
        <charset val="128"/>
        <scheme val="minor"/>
      </rPr>
      <t>の場合の
判定参照セル</t>
    </r>
    <rPh sb="6" eb="8">
      <t>ホウシキ</t>
    </rPh>
    <rPh sb="9" eb="11">
      <t>バアイ</t>
    </rPh>
    <rPh sb="13" eb="15">
      <t>ハンテイ</t>
    </rPh>
    <rPh sb="15" eb="17">
      <t>サンショウ</t>
    </rPh>
    <phoneticPr fontId="4"/>
  </si>
  <si>
    <r>
      <rPr>
        <b/>
        <sz val="11"/>
        <color rgb="FF008000"/>
        <rFont val="ＭＳ Ｐゴシック"/>
        <family val="3"/>
        <charset val="128"/>
        <scheme val="minor"/>
      </rPr>
      <t>LAN接続方式</t>
    </r>
    <r>
      <rPr>
        <sz val="11"/>
        <color theme="1"/>
        <rFont val="ＭＳ Ｐゴシック"/>
        <family val="3"/>
        <charset val="128"/>
        <scheme val="minor"/>
      </rPr>
      <t>の場合の
判定参照セル</t>
    </r>
    <rPh sb="3" eb="5">
      <t>セツゾク</t>
    </rPh>
    <rPh sb="5" eb="7">
      <t>ホウシキ</t>
    </rPh>
    <rPh sb="8" eb="10">
      <t>バアイ</t>
    </rPh>
    <rPh sb="12" eb="14">
      <t>ハンテイ</t>
    </rPh>
    <rPh sb="14" eb="16">
      <t>サンショウ</t>
    </rPh>
    <phoneticPr fontId="4"/>
  </si>
  <si>
    <r>
      <t xml:space="preserve"> ← </t>
    </r>
    <r>
      <rPr>
        <b/>
        <sz val="11"/>
        <color rgb="FFFF0000"/>
        <rFont val="ＭＳ Ｐゴシック"/>
        <family val="3"/>
        <charset val="128"/>
        <scheme val="minor"/>
      </rPr>
      <t>必須項目</t>
    </r>
    <rPh sb="3" eb="5">
      <t>ヒッス</t>
    </rPh>
    <rPh sb="5" eb="7">
      <t>コウモク</t>
    </rPh>
    <phoneticPr fontId="4"/>
  </si>
  <si>
    <t>ハイフン(－)なしの7桁の数字</t>
    <phoneticPr fontId="4"/>
  </si>
  <si>
    <t>ハイフン(－)なしの10桁または11桁の数字</t>
    <phoneticPr fontId="4"/>
  </si>
  <si>
    <t>全角カナ入力</t>
    <rPh sb="4" eb="6">
      <t>ニュウリョク</t>
    </rPh>
    <phoneticPr fontId="4"/>
  </si>
  <si>
    <t>”度表記”で入力　例）35.684955</t>
    <phoneticPr fontId="4"/>
  </si>
  <si>
    <t>”度表記”で入力　例）139.767094</t>
    <phoneticPr fontId="4"/>
  </si>
  <si>
    <t>半角英数字</t>
    <rPh sb="0" eb="2">
      <t>ハンカク</t>
    </rPh>
    <rPh sb="2" eb="5">
      <t>エイスウジ</t>
    </rPh>
    <phoneticPr fontId="4"/>
  </si>
  <si>
    <t>日射計設置有無</t>
    <phoneticPr fontId="4"/>
  </si>
  <si>
    <t>リストより選択</t>
  </si>
  <si>
    <t>リストより選択　オプション部分の型名は問いません</t>
    <phoneticPr fontId="4"/>
  </si>
  <si>
    <t>氏／名を分けて入力　全角カナ入力</t>
    <rPh sb="0" eb="1">
      <t>シ</t>
    </rPh>
    <rPh sb="2" eb="3">
      <t>メイ</t>
    </rPh>
    <rPh sb="4" eb="5">
      <t>ワ</t>
    </rPh>
    <rPh sb="7" eb="9">
      <t>ニュウリョク</t>
    </rPh>
    <phoneticPr fontId="4"/>
  </si>
  <si>
    <t>氏／名を分けて入力</t>
    <phoneticPr fontId="4"/>
  </si>
  <si>
    <t>氏／名を分けて入力</t>
    <phoneticPr fontId="4"/>
  </si>
  <si>
    <t>法人の場合は必須　全角カナ入力</t>
    <rPh sb="0" eb="2">
      <t>ホウジン</t>
    </rPh>
    <rPh sb="3" eb="5">
      <t>バアイ</t>
    </rPh>
    <phoneticPr fontId="4"/>
  </si>
  <si>
    <t>法人の場合は必須</t>
    <rPh sb="0" eb="2">
      <t>ホウジン</t>
    </rPh>
    <rPh sb="3" eb="5">
      <t>バアイ</t>
    </rPh>
    <phoneticPr fontId="4"/>
  </si>
  <si>
    <t>電話番号　※８</t>
    <phoneticPr fontId="4"/>
  </si>
  <si>
    <t>メールアドレス　※８</t>
    <phoneticPr fontId="4"/>
  </si>
  <si>
    <t>※８　日中連絡のとれる電話番号、メールアドレスを記入願います。</t>
    <rPh sb="11" eb="13">
      <t>デンワ</t>
    </rPh>
    <rPh sb="13" eb="15">
      <t>バンゴウ</t>
    </rPh>
    <phoneticPr fontId="4"/>
  </si>
  <si>
    <t>パネル方位角　（単位：度）　※９</t>
    <rPh sb="8" eb="10">
      <t>タンイ</t>
    </rPh>
    <rPh sb="11" eb="12">
      <t>ド</t>
    </rPh>
    <phoneticPr fontId="4"/>
  </si>
  <si>
    <t>パネル傾斜角　（単位：度）　※９</t>
    <phoneticPr fontId="4"/>
  </si>
  <si>
    <t>クラウド区画分譲オプションサービス</t>
    <phoneticPr fontId="4"/>
  </si>
  <si>
    <t>注意事項</t>
    <rPh sb="0" eb="2">
      <t>チュウイ</t>
    </rPh>
    <rPh sb="2" eb="4">
      <t>ジコウ</t>
    </rPh>
    <phoneticPr fontId="4"/>
  </si>
  <si>
    <t>入力補助
（＊）</t>
    <rPh sb="0" eb="2">
      <t>ニュウリョク</t>
    </rPh>
    <rPh sb="2" eb="4">
      <t>ホジョ</t>
    </rPh>
    <phoneticPr fontId="4"/>
  </si>
  <si>
    <t>区画 1 発電所名称フリガナ</t>
  </si>
  <si>
    <t>区画 1 発電所名称</t>
  </si>
  <si>
    <t>区画 2 発電所名称フリガナ</t>
  </si>
  <si>
    <t>区画 2 発電所名称</t>
  </si>
  <si>
    <t>区画 3 発電所名称フリガナ</t>
  </si>
  <si>
    <t>区画 3 発電所名称</t>
  </si>
  <si>
    <t>区画 4 発電所名称フリガナ</t>
  </si>
  <si>
    <t>区画 4 発電所名称</t>
  </si>
  <si>
    <t>区画 5 発電所名称フリガナ</t>
  </si>
  <si>
    <t>区画 5 発電所名称</t>
  </si>
  <si>
    <t>区画 6 発電所名称フリガナ</t>
  </si>
  <si>
    <t>区画 6 発電所名称</t>
  </si>
  <si>
    <t>区画 7 発電所名称フリガナ</t>
  </si>
  <si>
    <t>区画 7 発電所名称</t>
  </si>
  <si>
    <t>区画 8 発電所名称フリガナ</t>
  </si>
  <si>
    <t>区画 8 発電所名称</t>
  </si>
  <si>
    <t>設備ID 2　※７</t>
    <phoneticPr fontId="4"/>
  </si>
  <si>
    <t>設備ID 3　※７</t>
    <phoneticPr fontId="4"/>
  </si>
  <si>
    <t>設備ID 4　※７</t>
    <phoneticPr fontId="4"/>
  </si>
  <si>
    <t>設備ID 5　※７</t>
    <phoneticPr fontId="4"/>
  </si>
  <si>
    <t>設備ID 6　※７</t>
    <phoneticPr fontId="4"/>
  </si>
  <si>
    <t>設備ID 7　※７</t>
    <phoneticPr fontId="4"/>
  </si>
  <si>
    <t>設備ID 8　※７</t>
    <phoneticPr fontId="4"/>
  </si>
  <si>
    <t>通信ID 1　PCS型名</t>
  </si>
  <si>
    <t>通信ID 1　PCS製造番号</t>
  </si>
  <si>
    <t>通信ID 3　PCS型名</t>
  </si>
  <si>
    <t>通信ID 3　PCS製造番号</t>
  </si>
  <si>
    <t>通信ID 3　発電所区画No</t>
  </si>
  <si>
    <t>通信ID 3　PCS毎の出力制御設定</t>
  </si>
  <si>
    <t>通信ID 4　PCS型名</t>
  </si>
  <si>
    <t>通信ID 4　PCS製造番号</t>
  </si>
  <si>
    <t>通信ID 4　発電所区画No</t>
  </si>
  <si>
    <t>通信ID 4　PCS毎の出力制御設定</t>
  </si>
  <si>
    <t>通信ID 5　PCS型名</t>
  </si>
  <si>
    <t>通信ID 5　PCS製造番号</t>
  </si>
  <si>
    <t>通信ID 5　発電所区画No</t>
  </si>
  <si>
    <t>通信ID 5　PCS毎の出力制御設定</t>
  </si>
  <si>
    <t>通信ID 6　PCS型名</t>
  </si>
  <si>
    <t>通信ID 6　PCS製造番号</t>
  </si>
  <si>
    <t>通信ID 6　発電所区画No</t>
  </si>
  <si>
    <t>通信ID 6　PCS毎の出力制御設定</t>
  </si>
  <si>
    <t>通信ID 7　PCS型名</t>
  </si>
  <si>
    <t>通信ID 7　PCS製造番号</t>
  </si>
  <si>
    <t>通信ID 7　発電所区画No</t>
  </si>
  <si>
    <t>通信ID 7　PCS毎の出力制御設定</t>
  </si>
  <si>
    <t>通信ID 8　PCS型名</t>
  </si>
  <si>
    <t>通信ID 8　PCS製造番号</t>
  </si>
  <si>
    <t>通信ID 8　発電所区画No</t>
  </si>
  <si>
    <t>通信ID 8　PCS毎の出力制御設定</t>
  </si>
  <si>
    <t>通信ID 9　PCS型名</t>
  </si>
  <si>
    <t>通信ID 9　PCS製造番号</t>
  </si>
  <si>
    <t>通信ID 9　発電所区画No</t>
  </si>
  <si>
    <t>通信ID 9　PCS毎の出力制御設定</t>
  </si>
  <si>
    <t>通信ID 10　PCS型名</t>
  </si>
  <si>
    <t>通信ID 10　PCS製造番号</t>
  </si>
  <si>
    <t>通信ID 10　発電所区画No</t>
  </si>
  <si>
    <t>通信ID 10　PCS毎の出力制御設定</t>
  </si>
  <si>
    <t>通信ID 11　PCS型名</t>
  </si>
  <si>
    <t>通信ID 11　PCS製造番号</t>
  </si>
  <si>
    <t>通信ID 11　PCS毎の出力制御設定</t>
  </si>
  <si>
    <t>通信ID 12　PCS型名</t>
  </si>
  <si>
    <t>通信ID 12　PCS製造番号</t>
  </si>
  <si>
    <t>通信ID 12　発電所区画No</t>
  </si>
  <si>
    <t>通信ID 12　PCS毎の出力制御設定</t>
  </si>
  <si>
    <t>通信ID 13　PCS型名</t>
  </si>
  <si>
    <t>通信ID 13　PCS製造番号</t>
  </si>
  <si>
    <t>通信ID 13　発電所区画No</t>
  </si>
  <si>
    <t>通信ID 13　PCS毎の出力制御設定</t>
  </si>
  <si>
    <t>通信ID 14　PCS型名</t>
  </si>
  <si>
    <t>通信ID 14　PCS製造番号</t>
  </si>
  <si>
    <t>通信ID 14　発電所区画No</t>
  </si>
  <si>
    <t>通信ID 14　PCS毎の出力制御設定</t>
  </si>
  <si>
    <t>通信ID 15　PCS型名</t>
  </si>
  <si>
    <t>通信ID 15　PCS製造番号</t>
  </si>
  <si>
    <t>通信ID 15　発電所区画No</t>
  </si>
  <si>
    <t>通信ID 15　PCS毎の出力制御設定</t>
  </si>
  <si>
    <t>通信ID 16　PCS型名</t>
  </si>
  <si>
    <t>通信ID 16　PCS製造番号</t>
  </si>
  <si>
    <t>通信ID 16　発電所区画No</t>
  </si>
  <si>
    <t>通信ID 16　PCS毎の出力制御設定</t>
  </si>
  <si>
    <t>通信ID 17　PCS型名</t>
  </si>
  <si>
    <t>通信ID 17　PCS製造番号</t>
  </si>
  <si>
    <t>通信ID 17　発電所区画No</t>
  </si>
  <si>
    <t>通信ID 17　PCS毎の出力制御設定</t>
  </si>
  <si>
    <t>通信ID 18　PCS型名</t>
  </si>
  <si>
    <t>通信ID 18　PCS製造番号</t>
  </si>
  <si>
    <t>通信ID 18　発電所区画No</t>
  </si>
  <si>
    <t>通信ID 18　PCS毎の出力制御設定</t>
  </si>
  <si>
    <t>通信ID 19　PCS型名</t>
  </si>
  <si>
    <t>通信ID 19　PCS製造番号</t>
  </si>
  <si>
    <t>通信ID 19　発電所区画No</t>
  </si>
  <si>
    <t>通信ID 19　PCS毎の出力制御設定</t>
  </si>
  <si>
    <t>通信ID 20　PCS型名</t>
  </si>
  <si>
    <t>通信ID 20　PCS製造番号</t>
  </si>
  <si>
    <t>通信ID 20　発電所区画No</t>
  </si>
  <si>
    <t>通信ID 20　PCS毎の出力制御設定</t>
  </si>
  <si>
    <t>通信ID 21　PCS型名</t>
  </si>
  <si>
    <t>通信ID 21　PCS製造番号</t>
  </si>
  <si>
    <t>通信ID 21　発電所区画No</t>
  </si>
  <si>
    <t>通信ID 21　PCS毎の出力制御設定</t>
  </si>
  <si>
    <t>通信ID 22　PCS型名</t>
  </si>
  <si>
    <t>通信ID 22　PCS製造番号</t>
  </si>
  <si>
    <t>通信ID 22　発電所区画No</t>
  </si>
  <si>
    <t>通信ID 22　PCS毎の出力制御設定</t>
  </si>
  <si>
    <t>通信ID 23　PCS型名</t>
  </si>
  <si>
    <t>通信ID 23　PCS製造番号</t>
  </si>
  <si>
    <t>通信ID 23　発電所区画No</t>
  </si>
  <si>
    <t>通信ID 23　PCS毎の出力制御設定</t>
  </si>
  <si>
    <t>通信ID 24　PCS型名</t>
  </si>
  <si>
    <t>通信ID 24　PCS製造番号</t>
  </si>
  <si>
    <t>通信ID 24　発電所区画No</t>
  </si>
  <si>
    <t>通信ID 24　PCS毎の出力制御設定</t>
  </si>
  <si>
    <t>通信ID 25　PCS型名</t>
  </si>
  <si>
    <t>通信ID 25　PCS製造番号</t>
  </si>
  <si>
    <t>通信ID 25　発電所区画No</t>
  </si>
  <si>
    <t>通信ID 25　PCS毎の出力制御設定</t>
  </si>
  <si>
    <t>通信ID 26　PCS型名</t>
  </si>
  <si>
    <t>通信ID 26　PCS製造番号</t>
  </si>
  <si>
    <t>通信ID 26　発電所区画No</t>
  </si>
  <si>
    <t>通信ID 26　PCS毎の出力制御設定</t>
  </si>
  <si>
    <t>通信ID 27　PCS型名</t>
  </si>
  <si>
    <t>通信ID 27　PCS製造番号</t>
  </si>
  <si>
    <t>通信ID 27　発電所区画No</t>
  </si>
  <si>
    <t>通信ID 27　PCS毎の出力制御設定</t>
  </si>
  <si>
    <t>通信ID 28　PCS型名</t>
  </si>
  <si>
    <t>通信ID 28　PCS製造番号</t>
  </si>
  <si>
    <t>通信ID 28　発電所区画No</t>
  </si>
  <si>
    <t>通信ID 28　PCS毎の出力制御設定</t>
  </si>
  <si>
    <t>通信ID 29　PCS型名</t>
  </si>
  <si>
    <t>通信ID 29　PCS製造番号</t>
  </si>
  <si>
    <t>通信ID 29　発電所区画No</t>
  </si>
  <si>
    <t>通信ID 29　PCS毎の出力制御設定</t>
  </si>
  <si>
    <t>通信ID 30　PCS型名</t>
  </si>
  <si>
    <t>通信ID 30　PCS製造番号</t>
  </si>
  <si>
    <t>通信ID 30　発電所区画No</t>
  </si>
  <si>
    <t>通信ID 30　PCS毎の出力制御設定</t>
  </si>
  <si>
    <t>設備ID 1</t>
  </si>
  <si>
    <t>設備ID 2</t>
  </si>
  <si>
    <t>設備ID 3</t>
  </si>
  <si>
    <t>設備ID 4</t>
  </si>
  <si>
    <t>設備ID 5</t>
  </si>
  <si>
    <t>設備ID 6</t>
  </si>
  <si>
    <t>設備ID 7</t>
  </si>
  <si>
    <t>設備ID 8</t>
  </si>
  <si>
    <t>通信ID 1　発電所区画No</t>
  </si>
  <si>
    <t>リストより選択</t>
    <phoneticPr fontId="4"/>
  </si>
  <si>
    <t>3項と　同じ・違う</t>
    <rPh sb="1" eb="2">
      <t>コウ</t>
    </rPh>
    <rPh sb="4" eb="5">
      <t>オナ</t>
    </rPh>
    <rPh sb="7" eb="8">
      <t>チガ</t>
    </rPh>
    <phoneticPr fontId="4"/>
  </si>
  <si>
    <t>★</t>
  </si>
  <si>
    <t>★</t>
    <phoneticPr fontId="4"/>
  </si>
  <si>
    <t>通信ID 2　発電所区画No</t>
    <phoneticPr fontId="4"/>
  </si>
  <si>
    <t>通信ID 2　PCS型名</t>
    <phoneticPr fontId="4"/>
  </si>
  <si>
    <t>通信ID 2　PCS製造番号</t>
    <phoneticPr fontId="4"/>
  </si>
  <si>
    <t>通信ID 1　PCS毎の出力制御設定</t>
    <phoneticPr fontId="4"/>
  </si>
  <si>
    <t>英数字は半角に変換済み</t>
    <rPh sb="0" eb="3">
      <t>エイスウジ</t>
    </rPh>
    <rPh sb="4" eb="6">
      <t>ハンカク</t>
    </rPh>
    <rPh sb="7" eb="9">
      <t>ヘンカン</t>
    </rPh>
    <rPh sb="9" eb="10">
      <t>ズ</t>
    </rPh>
    <phoneticPr fontId="4"/>
  </si>
  <si>
    <t>備考</t>
    <rPh sb="0" eb="2">
      <t>ビコウ</t>
    </rPh>
    <phoneticPr fontId="4"/>
  </si>
  <si>
    <t>（　　　　　　　　）電力</t>
    <phoneticPr fontId="4"/>
  </si>
  <si>
    <t>（　　　　　　　　）電力</t>
    <phoneticPr fontId="4"/>
  </si>
  <si>
    <t>データ抽出欄
（2列に入力したデータも、結合して反映済み）</t>
    <rPh sb="3" eb="5">
      <t>チュウシュツ</t>
    </rPh>
    <rPh sb="5" eb="6">
      <t>ラン</t>
    </rPh>
    <rPh sb="9" eb="10">
      <t>レツ</t>
    </rPh>
    <rPh sb="11" eb="13">
      <t>ニュウリョク</t>
    </rPh>
    <rPh sb="20" eb="22">
      <t>ケツゴウ</t>
    </rPh>
    <rPh sb="24" eb="26">
      <t>ハンエイ</t>
    </rPh>
    <rPh sb="26" eb="27">
      <t>ス</t>
    </rPh>
    <phoneticPr fontId="4"/>
  </si>
  <si>
    <r>
      <t xml:space="preserve">判定式-1
と
</t>
    </r>
    <r>
      <rPr>
        <u/>
        <sz val="11"/>
        <color rgb="FF0000FF"/>
        <rFont val="ＭＳ Ｐゴシック"/>
        <family val="3"/>
        <charset val="128"/>
        <scheme val="minor"/>
      </rPr>
      <t>判定式-1のみの結果</t>
    </r>
    <rPh sb="0" eb="2">
      <t>ハンテイ</t>
    </rPh>
    <rPh sb="2" eb="3">
      <t>シキ</t>
    </rPh>
    <rPh sb="8" eb="10">
      <t>ハンテイ</t>
    </rPh>
    <rPh sb="10" eb="11">
      <t>シキ</t>
    </rPh>
    <rPh sb="16" eb="18">
      <t>ケッカ</t>
    </rPh>
    <phoneticPr fontId="4"/>
  </si>
  <si>
    <r>
      <t xml:space="preserve">判定式-2
</t>
    </r>
    <r>
      <rPr>
        <u/>
        <sz val="11"/>
        <color rgb="FF0000FF"/>
        <rFont val="ＭＳ Ｐゴシック"/>
        <family val="3"/>
        <charset val="128"/>
        <scheme val="minor"/>
      </rPr>
      <t>以降の集計結果</t>
    </r>
    <rPh sb="0" eb="2">
      <t>ハンテイ</t>
    </rPh>
    <rPh sb="2" eb="3">
      <t>シキ</t>
    </rPh>
    <rPh sb="6" eb="8">
      <t>イコウ</t>
    </rPh>
    <rPh sb="9" eb="11">
      <t>シュウケイ</t>
    </rPh>
    <rPh sb="11" eb="13">
      <t>ケッカ</t>
    </rPh>
    <phoneticPr fontId="4"/>
  </si>
  <si>
    <t>法人</t>
  </si>
  <si>
    <t>違う</t>
  </si>
  <si>
    <t>九州電力</t>
  </si>
  <si>
    <t>世界測地系</t>
  </si>
  <si>
    <t>新規登録</t>
  </si>
  <si>
    <t>通知あり</t>
  </si>
  <si>
    <t>有り</t>
  </si>
  <si>
    <t>PVS9R9T200B</t>
  </si>
  <si>
    <t>下記連絡先になります</t>
  </si>
  <si>
    <r>
      <t>▼STEP1で記載した書類を下記アドレスにメール送信願います。
　（右上”お問合せ先アドレス”と異なります。ご注意願います。）
　</t>
    </r>
    <r>
      <rPr>
        <u/>
        <sz val="11"/>
        <rFont val="ＭＳ Ｐゴシック"/>
        <family val="3"/>
        <charset val="128"/>
      </rPr>
      <t>【アドレス】　pvservice@shindengen.co.jp</t>
    </r>
    <r>
      <rPr>
        <sz val="11"/>
        <rFont val="ＭＳ Ｐゴシック"/>
        <family val="3"/>
        <charset val="128"/>
      </rPr>
      <t xml:space="preserve">
　</t>
    </r>
    <r>
      <rPr>
        <u/>
        <sz val="11"/>
        <rFont val="ＭＳ Ｐゴシック"/>
        <family val="3"/>
        <charset val="128"/>
      </rPr>
      <t>【件名】　監視サービス登録書（兼 初期設定事前確認書）送信</t>
    </r>
    <r>
      <rPr>
        <sz val="11"/>
        <rFont val="ＭＳ Ｐゴシック"/>
        <family val="3"/>
        <charset val="128"/>
      </rPr>
      <t xml:space="preserve"> </t>
    </r>
    <r>
      <rPr>
        <sz val="11"/>
        <color theme="1"/>
        <rFont val="ＭＳ Ｐゴシック"/>
        <family val="2"/>
        <charset val="128"/>
        <scheme val="minor"/>
      </rPr>
      <t xml:space="preserve">    </t>
    </r>
    <rPh sb="7" eb="9">
      <t>キサイ</t>
    </rPh>
    <rPh sb="11" eb="13">
      <t>ショルイ</t>
    </rPh>
    <rPh sb="14" eb="16">
      <t>カキ</t>
    </rPh>
    <rPh sb="24" eb="26">
      <t>ソウシン</t>
    </rPh>
    <rPh sb="26" eb="27">
      <t>ネガ</t>
    </rPh>
    <phoneticPr fontId="16"/>
  </si>
  <si>
    <t>▼遠隔初期設定サービス実施日までに、
　　お客様にて現地での事前確認をお願い致します。
　　詳細は右の
　　「SOLGRID MANAGER 遠隔初期設定サービス 実施前確認」
　　を参照願います。</t>
    <rPh sb="22" eb="24">
      <t>キャクサマ</t>
    </rPh>
    <rPh sb="30" eb="32">
      <t>ジゼン</t>
    </rPh>
    <rPh sb="32" eb="34">
      <t>カクニン</t>
    </rPh>
    <rPh sb="36" eb="37">
      <t>ネガ</t>
    </rPh>
    <rPh sb="38" eb="39">
      <t>イタ</t>
    </rPh>
    <rPh sb="46" eb="48">
      <t>ショウサイ</t>
    </rPh>
    <rPh sb="49" eb="50">
      <t>ミギ</t>
    </rPh>
    <rPh sb="92" eb="94">
      <t>サンショウ</t>
    </rPh>
    <rPh sb="94" eb="95">
      <t>ネガ</t>
    </rPh>
    <phoneticPr fontId="16"/>
  </si>
  <si>
    <t>＊必須項目です</t>
    <phoneticPr fontId="4"/>
  </si>
  <si>
    <t>＊必須項目です</t>
    <phoneticPr fontId="4"/>
  </si>
  <si>
    <t>10-1</t>
  </si>
  <si>
    <t>10-1</t>
    <phoneticPr fontId="4"/>
  </si>
  <si>
    <t>10-2</t>
  </si>
  <si>
    <t>10-2</t>
    <phoneticPr fontId="4"/>
  </si>
  <si>
    <t>10-3</t>
  </si>
  <si>
    <t>10-3</t>
    <phoneticPr fontId="4"/>
  </si>
  <si>
    <t>10-4</t>
  </si>
  <si>
    <t>10-5</t>
  </si>
  <si>
    <t>10-6</t>
  </si>
  <si>
    <t>10-7</t>
  </si>
  <si>
    <t>10-8</t>
  </si>
  <si>
    <t>１０．「初期設定サービス」（有料）のご案内について</t>
    <rPh sb="14" eb="16">
      <t>ユウリョウ</t>
    </rPh>
    <rPh sb="19" eb="21">
      <t>アンナイ</t>
    </rPh>
    <phoneticPr fontId="4"/>
  </si>
  <si>
    <t>９．「20年アフターパック」をお申込み済みのお客様へ</t>
  </si>
  <si>
    <t>「遠隔初期設定サービス」にお申込みのお客様は、まず”監視サービス登録書”シートをご記入願います。</t>
    <rPh sb="43" eb="44">
      <t>ネガ</t>
    </rPh>
    <phoneticPr fontId="4"/>
  </si>
  <si>
    <t>　当社、「SOLGRID MANAGER 遠隔初期設定サービス」にお申し込みいただき、誠にありがとうございます。
　本書は、遠隔初期設定サービス開始までの手引書です。　ご一読の上、所定のお手続きをお願い申し上げます。</t>
    <rPh sb="1" eb="3">
      <t>トウシャ</t>
    </rPh>
    <rPh sb="34" eb="35">
      <t>モウ</t>
    </rPh>
    <rPh sb="36" eb="37">
      <t>コ</t>
    </rPh>
    <rPh sb="43" eb="44">
      <t>マコト</t>
    </rPh>
    <rPh sb="58" eb="60">
      <t>ホンショ</t>
    </rPh>
    <rPh sb="72" eb="74">
      <t>カイシ</t>
    </rPh>
    <rPh sb="77" eb="79">
      <t>テビ</t>
    </rPh>
    <rPh sb="79" eb="80">
      <t>ショ</t>
    </rPh>
    <rPh sb="85" eb="87">
      <t>イチドク</t>
    </rPh>
    <rPh sb="88" eb="89">
      <t>ウエ</t>
    </rPh>
    <rPh sb="90" eb="92">
      <t>ショテイ</t>
    </rPh>
    <rPh sb="94" eb="96">
      <t>テツヅ</t>
    </rPh>
    <rPh sb="99" eb="100">
      <t>ネガ</t>
    </rPh>
    <rPh sb="101" eb="102">
      <t>モウ</t>
    </rPh>
    <rPh sb="103" eb="104">
      <t>ア</t>
    </rPh>
    <phoneticPr fontId="16"/>
  </si>
  <si>
    <r>
      <t>その後、本シート冒頭の『遠隔初期設定サービス開始までの流れ』を一読いただき、</t>
    </r>
    <r>
      <rPr>
        <b/>
        <sz val="11"/>
        <color rgb="FF0000FF"/>
        <rFont val="Meiryo UI"/>
        <family val="3"/>
        <charset val="128"/>
      </rPr>
      <t>青枠内</t>
    </r>
    <r>
      <rPr>
        <sz val="11"/>
        <color theme="1"/>
        <rFont val="Meiryo UI"/>
        <family val="3"/>
        <charset val="128"/>
      </rPr>
      <t>に記入、又はチェック後、メール送信願います。</t>
    </r>
    <rPh sb="4" eb="5">
      <t>ホン</t>
    </rPh>
    <rPh sb="8" eb="10">
      <t>ボウトウ</t>
    </rPh>
    <rPh sb="22" eb="24">
      <t>カイシ</t>
    </rPh>
    <rPh sb="51" eb="52">
      <t>ゴ</t>
    </rPh>
    <rPh sb="56" eb="58">
      <t>ソウシン</t>
    </rPh>
    <rPh sb="58" eb="59">
      <t>ネガ</t>
    </rPh>
    <phoneticPr fontId="4"/>
  </si>
  <si>
    <r>
      <t>『SOLGRID MANAGER 現地初期設定サービスお申込みに対しての
注意事項／お願い事項』をご一読の上、レ点チェックをお願いします　</t>
    </r>
    <r>
      <rPr>
        <sz val="10"/>
        <color rgb="FFFF0000"/>
        <rFont val="Meiryo UI"/>
        <family val="3"/>
        <charset val="128"/>
      </rPr>
      <t>＊必須項目です</t>
    </r>
    <phoneticPr fontId="4"/>
  </si>
  <si>
    <r>
      <t>『SOLGRID MANAGER 遠隔初期設定サービスお申込みに対しての
注意事項／お願い事項』をご一読の上、レ点チェックをお願いします　</t>
    </r>
    <r>
      <rPr>
        <sz val="10"/>
        <color rgb="FFFF0000"/>
        <rFont val="Meiryo UI"/>
        <family val="3"/>
        <charset val="128"/>
      </rPr>
      <t>＊必須項目です</t>
    </r>
    <rPh sb="17" eb="19">
      <t>エンカク</t>
    </rPh>
    <phoneticPr fontId="4"/>
  </si>
  <si>
    <t>２．初期点検必要書類</t>
    <rPh sb="2" eb="4">
      <t>ショキ</t>
    </rPh>
    <phoneticPr fontId="4"/>
  </si>
  <si>
    <r>
      <t>初期点検の実施日は、「初期点検必要書類」が弊社に届いた日以降になります。
「初期点検必要書類」が弊社届いた日以降にTEL又はE-mailにて作業可能日の
連絡を差し上げます。
※上記記載内容をご一読の上、レ点チェックをお願いします　</t>
    </r>
    <r>
      <rPr>
        <sz val="10"/>
        <color rgb="FFFF0000"/>
        <rFont val="Meiryo UI"/>
        <family val="3"/>
        <charset val="128"/>
      </rPr>
      <t>＊必須項目です</t>
    </r>
    <rPh sb="0" eb="2">
      <t>ショキ</t>
    </rPh>
    <rPh sb="2" eb="4">
      <t>テンケン</t>
    </rPh>
    <rPh sb="89" eb="91">
      <t>ジョウキ</t>
    </rPh>
    <rPh sb="91" eb="93">
      <t>キサイ</t>
    </rPh>
    <rPh sb="93" eb="95">
      <t>ナイヨウ</t>
    </rPh>
    <phoneticPr fontId="4"/>
  </si>
  <si>
    <t>※初期点検のお問合せ先</t>
    <rPh sb="1" eb="3">
      <t>ショキ</t>
    </rPh>
    <rPh sb="3" eb="5">
      <t>テンケン</t>
    </rPh>
    <phoneticPr fontId="4"/>
  </si>
  <si>
    <t>ご記入後、必要書類（２項参照）と一緒にメール送信願います。（【アドレス】pvservice@shindengen.co.jp、【件名】監視サービス登録書（兼 初期点検必要書類）送信）</t>
    <rPh sb="79" eb="81">
      <t>ショキ</t>
    </rPh>
    <rPh sb="81" eb="83">
      <t>テンケン</t>
    </rPh>
    <rPh sb="83" eb="85">
      <t>ヒツヨウ</t>
    </rPh>
    <rPh sb="85" eb="87">
      <t>ショルイ</t>
    </rPh>
    <phoneticPr fontId="4"/>
  </si>
  <si>
    <t>ご記入後、必要書類（４項参照）と一緒にメール送信願います。（【アドレス】pvservice@shindengen.co.jp、【件名】監視サービス登録書（兼 現地初期設定事前確認書）送信）</t>
    <rPh sb="79" eb="81">
      <t>ゲンチ</t>
    </rPh>
    <phoneticPr fontId="4"/>
  </si>
  <si>
    <t>（【アドレス】pvservice@shindengen.co.jp、【件名】監視サービス登録書（兼 遠隔初期設定事前確認書）送信）</t>
    <rPh sb="50" eb="52">
      <t>エンカク</t>
    </rPh>
    <phoneticPr fontId="4"/>
  </si>
  <si>
    <r>
      <t>”監視サービス登録書”シートをご記入後、</t>
    </r>
    <r>
      <rPr>
        <b/>
        <sz val="11"/>
        <color rgb="FF0000FF"/>
        <rFont val="Meiryo UI"/>
        <family val="3"/>
        <charset val="128"/>
      </rPr>
      <t>青枠内</t>
    </r>
    <r>
      <rPr>
        <sz val="11"/>
        <color theme="1"/>
        <rFont val="Meiryo UI"/>
        <family val="3"/>
        <charset val="128"/>
      </rPr>
      <t>に記入、又はチェック願います。</t>
    </r>
    <phoneticPr fontId="4"/>
  </si>
  <si>
    <r>
      <t>「20年アフターパック」にお申込みのお客様で、SOLGRID MANAGERシリーズを導入済み、又は</t>
    </r>
    <r>
      <rPr>
        <u/>
        <sz val="11"/>
        <color theme="1"/>
        <rFont val="Meiryo UI"/>
        <family val="3"/>
        <charset val="128"/>
      </rPr>
      <t>LAN接続方式</t>
    </r>
    <r>
      <rPr>
        <sz val="11"/>
        <color theme="1"/>
        <rFont val="Meiryo UI"/>
        <family val="3"/>
        <charset val="128"/>
      </rPr>
      <t>タイプを新規導入のお客様は、</t>
    </r>
    <rPh sb="43" eb="45">
      <t>ドウニュウ</t>
    </rPh>
    <rPh sb="45" eb="46">
      <t>ズ</t>
    </rPh>
    <rPh sb="48" eb="49">
      <t>マタ</t>
    </rPh>
    <rPh sb="67" eb="69">
      <t>キャクサマ</t>
    </rPh>
    <phoneticPr fontId="4"/>
  </si>
  <si>
    <r>
      <t>「現地初期設定サービス」をお申込み、又は「20年アフターパック」にお申込みで</t>
    </r>
    <r>
      <rPr>
        <u/>
        <sz val="11"/>
        <color theme="1"/>
        <rFont val="Meiryo UI"/>
        <family val="3"/>
        <charset val="128"/>
      </rPr>
      <t>SIMカード方式</t>
    </r>
    <r>
      <rPr>
        <sz val="11"/>
        <color theme="1"/>
        <rFont val="Meiryo UI"/>
        <family val="3"/>
        <charset val="128"/>
      </rPr>
      <t>のSOLGRID MANAGERシリーズを新規導入されたお客様は、</t>
    </r>
    <rPh sb="14" eb="16">
      <t>モウシコ</t>
    </rPh>
    <phoneticPr fontId="4"/>
  </si>
  <si>
    <r>
      <t>”監視サービス登録書”シートをご記入後、</t>
    </r>
    <r>
      <rPr>
        <b/>
        <sz val="11"/>
        <color rgb="FF0000FF"/>
        <rFont val="Meiryo UI"/>
        <family val="3"/>
        <charset val="128"/>
      </rPr>
      <t>青枠内</t>
    </r>
    <r>
      <rPr>
        <sz val="11"/>
        <color theme="1"/>
        <rFont val="Meiryo UI"/>
        <family val="3"/>
        <charset val="128"/>
      </rPr>
      <t>に記入、又はチェック願います。</t>
    </r>
    <phoneticPr fontId="4"/>
  </si>
  <si>
    <t>▼”監視サービス登録書”シート”をご記入ください。
▼下記の『SOLGRID MANAGER 遠隔初期設定サービス
　お申込みに対しての注意事項／お願い事項』をご一読後、
　「SOLGRID MANAGER 遠隔初期設定サービス 事前確認書」
　に記入願います。</t>
    <rPh sb="18" eb="20">
      <t>キニュウ</t>
    </rPh>
    <rPh sb="27" eb="29">
      <t>カキ</t>
    </rPh>
    <rPh sb="81" eb="83">
      <t>イチドク</t>
    </rPh>
    <rPh sb="83" eb="84">
      <t>ゴ</t>
    </rPh>
    <rPh sb="124" eb="126">
      <t>キニュウ</t>
    </rPh>
    <rPh sb="126" eb="127">
      <t>ネガ</t>
    </rPh>
    <phoneticPr fontId="16"/>
  </si>
  <si>
    <r>
      <rPr>
        <b/>
        <sz val="18"/>
        <color theme="1"/>
        <rFont val="Meiryo UI"/>
        <family val="3"/>
        <charset val="128"/>
      </rPr>
      <t xml:space="preserve">
　　　　　　　　　　</t>
    </r>
    <r>
      <rPr>
        <b/>
        <u/>
        <sz val="18"/>
        <color theme="1"/>
        <rFont val="Meiryo UI"/>
        <family val="3"/>
        <charset val="128"/>
      </rPr>
      <t xml:space="preserve">SOLGRID MANAGER 遠隔初期設定サービスお申込みに対しての注意事項／お願い事項
</t>
    </r>
    <r>
      <rPr>
        <sz val="11"/>
        <color theme="1"/>
        <rFont val="ＭＳ Ｐゴシック"/>
        <family val="3"/>
        <charset val="128"/>
      </rPr>
      <t xml:space="preserve">
　・本サービスは、『ローカル監視サービス』又は『クラウド監視サービス』をお申込みの方が対象です。
　　但し、以下のSOLGRID MANAGERシリーズは対象外となります。
　　●SOLGRID MANAGERシリーズ </t>
    </r>
    <r>
      <rPr>
        <u/>
        <sz val="11"/>
        <color theme="1"/>
        <rFont val="ＭＳ Ｐゴシック"/>
        <family val="3"/>
        <charset val="128"/>
      </rPr>
      <t>PV-WATCH-ST1</t>
    </r>
    <r>
      <rPr>
        <sz val="11"/>
        <color theme="1"/>
        <rFont val="ＭＳ Ｐゴシック"/>
        <family val="3"/>
        <charset val="128"/>
      </rPr>
      <t xml:space="preserve">
　　●</t>
    </r>
    <r>
      <rPr>
        <u/>
        <sz val="11"/>
        <color theme="1"/>
        <rFont val="ＭＳ Ｐゴシック"/>
        <family val="3"/>
        <charset val="128"/>
      </rPr>
      <t>LAN接続方式</t>
    </r>
    <r>
      <rPr>
        <sz val="11"/>
        <color theme="1"/>
        <rFont val="ＭＳ Ｐゴシック"/>
        <family val="3"/>
        <charset val="128"/>
      </rPr>
      <t xml:space="preserve">（有線方式）のSOLGRID MANAGERシリーズ
　・本サービスを申込む場合は、下記の「SOLGRID MANAGER 遠隔初期設定サービス事前確認書」に必要事項を記載の上、下記アドレス宛てにメールで事前送信をお願いします。
</t>
    </r>
    <r>
      <rPr>
        <sz val="14"/>
        <color theme="1"/>
        <rFont val="ＭＳ Ｐゴシック"/>
        <family val="3"/>
        <charset val="128"/>
      </rPr>
      <t>　　　　</t>
    </r>
    <r>
      <rPr>
        <b/>
        <sz val="14"/>
        <color theme="1"/>
        <rFont val="ＭＳ Ｐゴシック"/>
        <family val="3"/>
        <charset val="128"/>
      </rPr>
      <t>【アドレス】　pvservice@shindengen.co.jp
　　　　【件名】　監視サービス登録書（兼 初期設定事前確認書）送信</t>
    </r>
    <r>
      <rPr>
        <sz val="11"/>
        <color theme="1"/>
        <rFont val="ＭＳ Ｐゴシック"/>
        <family val="3"/>
        <charset val="128"/>
      </rPr>
      <t xml:space="preserve">
　・記載内容に不明な点等ありましたら、SOLGRID MANAGER取扱説明書を参照願います。
　・本サービス実施前に、申込者様にて設置、接地配線、通信配線、電源配線を実施して頂きます。
　　※上記が完了していない場合は、本サービスは実施できません。
　・本サービスの実施日は、申込者様のお手元にSIMカードが届いた日以降になります。
　・本サービスの実施前に申込者様にて下記の対応をお願いします。
　　　★監視装置：
　　　　①SIMカードを監視装置に取付けて下さい。
　　　　②系統入力に設置されている漏電ブレーカをONにし、監視装置に電源が入っている状態にして下さい。 
　　　★PCS：
　　　　①系統出力に設置されている漏電ブレーカをONにし、PCSに電源が入っている状態にして下さい。
　　　　②通信IDを設定して下さい。
　　※上記が完了していない場合は、本サービスは実施できません。
　・本サービスの実施時間は弊社稼働日の9時～17時となり、時間外作業については別途料金が発生します。
　・現地設置のSOLGRID MANAGER ⇔ パワーコンディショナ間の誤配線等により本サービスが実施できない場合には、申込者様自身で不具合原因の解明、及び復旧作業を実施して頂きます。
　　※当社にご用命の際は、現地にて不具合原因の解明までを実施致します。（別途料金が発生します。）
　　※復旧後に再度本サービスを依頼された場合、本サービス実施にかかる追加費用は発生しません。
　・本サービス実施後に申込者様がSOLGRID MANAGERにログインする際には、パーソナルコンピュータのIPアドレス設定・IE設定は申込者様自身で設定していただきます。</t>
    </r>
    <r>
      <rPr>
        <u/>
        <sz val="11"/>
        <color theme="1"/>
        <rFont val="Meiryo UI"/>
        <family val="3"/>
        <charset val="128"/>
      </rPr>
      <t xml:space="preserve">
</t>
    </r>
    <r>
      <rPr>
        <b/>
        <u/>
        <sz val="18"/>
        <color theme="1"/>
        <rFont val="Meiryo UI"/>
        <family val="3"/>
        <charset val="128"/>
      </rPr>
      <t xml:space="preserve">
</t>
    </r>
    <r>
      <rPr>
        <sz val="11"/>
        <color theme="1"/>
        <rFont val="Meiryo UI"/>
        <family val="3"/>
        <charset val="128"/>
      </rPr>
      <t xml:space="preserve">
</t>
    </r>
    <rPh sb="27" eb="29">
      <t>エンカク</t>
    </rPh>
    <rPh sb="233" eb="235">
      <t>カキ</t>
    </rPh>
    <phoneticPr fontId="4"/>
  </si>
  <si>
    <r>
      <rPr>
        <b/>
        <sz val="18"/>
        <color theme="1"/>
        <rFont val="Meiryo UI"/>
        <family val="3"/>
        <charset val="128"/>
      </rPr>
      <t xml:space="preserve">
　　　</t>
    </r>
    <r>
      <rPr>
        <b/>
        <u/>
        <sz val="18"/>
        <color theme="1"/>
        <rFont val="Meiryo UI"/>
        <family val="3"/>
        <charset val="128"/>
      </rPr>
      <t>SOLGRID MANAGER 現地初期設定サービスお申込みに対しての注意事項／お願い事項</t>
    </r>
    <r>
      <rPr>
        <sz val="11"/>
        <color theme="1"/>
        <rFont val="Meiryo UI"/>
        <family val="3"/>
        <charset val="128"/>
      </rPr>
      <t xml:space="preserve">
　・本サービスは、『ローカル監視サービス』、『クラウド監視サービス』、又は『20年アフターパック』をお申込みの方が対象です。
　　＊『20年アフターパック』は、</t>
    </r>
    <r>
      <rPr>
        <u/>
        <sz val="11"/>
        <color theme="1"/>
        <rFont val="Meiryo UI"/>
        <family val="3"/>
        <charset val="128"/>
      </rPr>
      <t>SIMカード方式</t>
    </r>
    <r>
      <rPr>
        <sz val="11"/>
        <color theme="1"/>
        <rFont val="Meiryo UI"/>
        <family val="3"/>
        <charset val="128"/>
      </rPr>
      <t>（無線方式）のSOLGRID MANAGERシリーズを新規導入された場合に限ります。
　　＊LAN接続方式（有線方式）のSOLGRID MANAGERシリーズは対象外となります。
　・本サービスにはVenus Solarの操作方法説明は含まれません。
　・本サービスを申込む場合は、下記の「SOLGRID MANAGER 現地初期設定サービス事前確認書」に必要事項を記載の上、
　　下記アドレス宛てにメールで事前送信をお願いします。
　　　　　</t>
    </r>
    <r>
      <rPr>
        <sz val="14"/>
        <color theme="1"/>
        <rFont val="Meiryo UI"/>
        <family val="3"/>
        <charset val="128"/>
      </rPr>
      <t>【アドレス】　pvservice@shindengen.co.jp
　　　　【件名】　監視サービス登録書（兼 初期設定事前確認書）送信</t>
    </r>
    <r>
      <rPr>
        <sz val="11"/>
        <color theme="1"/>
        <rFont val="Meiryo UI"/>
        <family val="3"/>
        <charset val="128"/>
      </rPr>
      <t xml:space="preserve">
　・記載内容に不明な点等ありましたら、SOLGRID MANAGER取扱説明書を参照願います。
　・本サービスの実施日は、申込者様のお手元にSIMカードが届いた日以降になります。
　・初期設定の所要時間は、1台あたり60分を目安としています。
　　＊パワーコンディショナの機種、設置台数、設置状況によって前後します。
　・本サービス実施当日に
　　●パーソナルコンピュータ(Internet Explorer11が使用できるもの)
　　●LANケーブル(カテゴリ5e以上)
　　の準備をお願いします。
　　＊準備できない場合は弊社サービスマンが持参したパーソナルコンピュータにて初期設定を行いますが、
　　　 今後、装置本体にログインする際のパーソナルコンピュータのIPアドレス設定・IE設定はお客様ご自身で設定していただきます。
　　＊お客様のパーソナルコンピュータを使用する際には細心の注意を払いますが、万一予期しないトラブル等でデータが消失した場合、
　　　 当社では責任を負いかねますので予めご了承願います。
　　　 重要なデータが保存されている場合には、事前にデータのバックアップをお願いいたします。
</t>
    </r>
    <rPh sb="137" eb="139">
      <t>ホウシキ</t>
    </rPh>
    <rPh sb="140" eb="142">
      <t>ムセン</t>
    </rPh>
    <rPh sb="142" eb="144">
      <t>ホウシキ</t>
    </rPh>
    <rPh sb="173" eb="175">
      <t>バアイ</t>
    </rPh>
    <rPh sb="176" eb="177">
      <t>カギ</t>
    </rPh>
    <rPh sb="280" eb="282">
      <t>カキ</t>
    </rPh>
    <rPh sb="401" eb="403">
      <t>ケンメイ</t>
    </rPh>
    <phoneticPr fontId="4"/>
  </si>
  <si>
    <t>※５　日中連絡のとれる電話番号、メールアドレスを記入願います。</t>
    <rPh sb="11" eb="13">
      <t>デンワ</t>
    </rPh>
    <rPh sb="13" eb="15">
      <t>バンゴウ</t>
    </rPh>
    <phoneticPr fontId="4"/>
  </si>
  <si>
    <t>※９　方位角は【南】0度、【東】90度、【西】90度、【北】180度として15度単位となります。最も近い角度を選択願います。
　　　　傾斜角は、水平0度～垂直90度の範囲で10度単位に四捨五入した値を選択願います。　角度の異なるパネルが混在する場合は右枠外の参考図を参照願います。</t>
    <phoneticPr fontId="4"/>
  </si>
  <si>
    <t>＊必須項目です</t>
    <phoneticPr fontId="4"/>
  </si>
  <si>
    <t>（　　　　　　　　　　　　　　　　　　　　　　　　　　　　　　）</t>
    <phoneticPr fontId="4"/>
  </si>
  <si>
    <t>お問合せ先を選択ください</t>
    <rPh sb="1" eb="3">
      <t>トイアワ</t>
    </rPh>
    <rPh sb="4" eb="5">
      <t>サキ</t>
    </rPh>
    <rPh sb="6" eb="8">
      <t>センタク</t>
    </rPh>
    <phoneticPr fontId="4"/>
  </si>
  <si>
    <t>お問合せ先会社名（フリガナ）</t>
    <rPh sb="1" eb="3">
      <t>トイアワ</t>
    </rPh>
    <rPh sb="4" eb="5">
      <t>サキ</t>
    </rPh>
    <phoneticPr fontId="4"/>
  </si>
  <si>
    <t>お問合せ先会社名</t>
    <phoneticPr fontId="4"/>
  </si>
  <si>
    <t>20年アフターパック 初期点検 事前確認書</t>
    <rPh sb="2" eb="3">
      <t>ネン</t>
    </rPh>
    <rPh sb="11" eb="13">
      <t>ショキ</t>
    </rPh>
    <rPh sb="13" eb="15">
      <t>テンケン</t>
    </rPh>
    <phoneticPr fontId="4"/>
  </si>
  <si>
    <t>「初期設定サービス」（有料）について</t>
    <rPh sb="11" eb="13">
      <t>ユウリョウ</t>
    </rPh>
    <phoneticPr fontId="4"/>
  </si>
  <si>
    <r>
      <t>※３　1-5項の通信方式が</t>
    </r>
    <r>
      <rPr>
        <b/>
        <u/>
        <sz val="11"/>
        <color rgb="FF0000FF"/>
        <rFont val="ＭＳ Ｐゴシック"/>
        <family val="3"/>
        <charset val="128"/>
        <scheme val="minor"/>
      </rPr>
      <t>SIMカード方式</t>
    </r>
    <r>
      <rPr>
        <sz val="11"/>
        <rFont val="ＭＳ Ｐゴシック"/>
        <family val="3"/>
        <charset val="128"/>
        <scheme val="minor"/>
      </rPr>
      <t>の場合は、2-1項</t>
    </r>
    <r>
      <rPr>
        <b/>
        <u/>
        <sz val="11"/>
        <color rgb="FF0000FF"/>
        <rFont val="ＭＳ Ｐゴシック"/>
        <family val="3"/>
        <charset val="128"/>
        <scheme val="minor"/>
      </rPr>
      <t>通信用SIMカードお届け希望日以降の日付</t>
    </r>
    <r>
      <rPr>
        <sz val="11"/>
        <rFont val="ＭＳ Ｐゴシック"/>
        <family val="3"/>
        <charset val="128"/>
        <scheme val="minor"/>
      </rPr>
      <t>を、
　　　 1-5項の通信方式が</t>
    </r>
    <r>
      <rPr>
        <b/>
        <u/>
        <sz val="11"/>
        <color rgb="FF008000"/>
        <rFont val="ＭＳ Ｐゴシック"/>
        <family val="3"/>
        <charset val="128"/>
        <scheme val="minor"/>
      </rPr>
      <t>LAN接続方式</t>
    </r>
    <r>
      <rPr>
        <sz val="11"/>
        <rFont val="ＭＳ Ｐゴシック"/>
        <family val="3"/>
        <charset val="128"/>
        <scheme val="minor"/>
      </rPr>
      <t>の場合は、本登録書のメール送信日から</t>
    </r>
    <r>
      <rPr>
        <b/>
        <u/>
        <sz val="11"/>
        <color rgb="FF008000"/>
        <rFont val="ＭＳ Ｐゴシック"/>
        <family val="3"/>
        <charset val="128"/>
        <scheme val="minor"/>
      </rPr>
      <t>２週間以降の日付</t>
    </r>
    <r>
      <rPr>
        <sz val="11"/>
        <rFont val="ＭＳ Ｐゴシック"/>
        <family val="3"/>
        <charset val="128"/>
        <scheme val="minor"/>
      </rPr>
      <t>をご記入願います。</t>
    </r>
    <rPh sb="29" eb="30">
      <t>コウ</t>
    </rPh>
    <phoneticPr fontId="4"/>
  </si>
  <si>
    <r>
      <t>※４　1-5項の通信方式が</t>
    </r>
    <r>
      <rPr>
        <b/>
        <u/>
        <sz val="11"/>
        <color rgb="FF0000FF"/>
        <rFont val="ＭＳ Ｐゴシック"/>
        <family val="3"/>
        <charset val="128"/>
        <scheme val="minor"/>
      </rPr>
      <t>SIMカード方式</t>
    </r>
    <r>
      <rPr>
        <sz val="11"/>
        <rFont val="ＭＳ Ｐゴシック"/>
        <family val="3"/>
        <charset val="128"/>
        <scheme val="minor"/>
      </rPr>
      <t>の場合は、2-1項</t>
    </r>
    <r>
      <rPr>
        <b/>
        <u/>
        <sz val="11"/>
        <rFont val="ＭＳ Ｐゴシック"/>
        <family val="3"/>
        <charset val="128"/>
        <scheme val="minor"/>
      </rPr>
      <t>通信用SIMカードお届け希望日の１３ヶ月後</t>
    </r>
    <r>
      <rPr>
        <sz val="11"/>
        <rFont val="ＭＳ Ｐゴシック"/>
        <family val="3"/>
        <charset val="128"/>
        <scheme val="minor"/>
      </rPr>
      <t>、
　　　 1-5項の通信方式が</t>
    </r>
    <r>
      <rPr>
        <b/>
        <u/>
        <sz val="11"/>
        <color rgb="FF008000"/>
        <rFont val="ＭＳ Ｐゴシック"/>
        <family val="3"/>
        <charset val="128"/>
        <scheme val="minor"/>
      </rPr>
      <t>LAN接続方式</t>
    </r>
    <r>
      <rPr>
        <sz val="11"/>
        <rFont val="ＭＳ Ｐゴシック"/>
        <family val="3"/>
        <charset val="128"/>
        <scheme val="minor"/>
      </rPr>
      <t>の場合は、2-2項</t>
    </r>
    <r>
      <rPr>
        <b/>
        <u/>
        <sz val="11"/>
        <rFont val="ＭＳ Ｐゴシック"/>
        <family val="3"/>
        <charset val="128"/>
        <scheme val="minor"/>
      </rPr>
      <t>監視サービス開始予定日の１３ヶ月後</t>
    </r>
    <r>
      <rPr>
        <sz val="11"/>
        <rFont val="ＭＳ Ｐゴシック"/>
        <family val="3"/>
        <charset val="128"/>
        <scheme val="minor"/>
      </rPr>
      <t>になります。</t>
    </r>
    <rPh sb="29" eb="30">
      <t>コウ</t>
    </rPh>
    <rPh sb="82" eb="83">
      <t>コウ</t>
    </rPh>
    <phoneticPr fontId="4"/>
  </si>
  <si>
    <t>３．［通信用SIMカード及び／又は「監視サービス利用登録完了通知書」　お届け先情報］</t>
    <phoneticPr fontId="4"/>
  </si>
  <si>
    <t>SOLGRID MANAGER 太陽光発電用 監視サービス登録書</t>
    <phoneticPr fontId="4"/>
  </si>
  <si>
    <t>１．注意事項</t>
    <phoneticPr fontId="4"/>
  </si>
  <si>
    <t>電力サーバ設定</t>
    <phoneticPr fontId="4"/>
  </si>
  <si>
    <t>PCS接続設定</t>
    <phoneticPr fontId="4"/>
  </si>
  <si>
    <t>日射・気温の取得先</t>
    <phoneticPr fontId="4"/>
  </si>
  <si>
    <t>日射・気温の取得先</t>
    <phoneticPr fontId="4"/>
  </si>
  <si>
    <t>無し</t>
    <phoneticPr fontId="4"/>
  </si>
  <si>
    <t>無し</t>
    <phoneticPr fontId="4"/>
  </si>
  <si>
    <t>※PCS通信ID：</t>
  </si>
  <si>
    <t>レ点チェック願います　記載が無い場合は初期値のままになります。</t>
  </si>
  <si>
    <t>レ点チェック願います　記載が無い場合は初期値のままになります。</t>
    <phoneticPr fontId="4"/>
  </si>
  <si>
    <t>有りの場合はPCS通信IDを記載願います。</t>
    <rPh sb="9" eb="11">
      <t>ツウシン</t>
    </rPh>
    <phoneticPr fontId="4"/>
  </si>
  <si>
    <t>有りの場合はPCS通信IDを記載願います。</t>
    <rPh sb="9" eb="11">
      <t>ツウシン</t>
    </rPh>
    <phoneticPr fontId="4"/>
  </si>
  <si>
    <t>チェックが無い場合は初期値のままになります。設定する場合は希望年月日時も記載願います。
設定希望で年月日時の記載が無い場合は初期設定サービス実施日から1年後の年月日時に設定します。</t>
    <phoneticPr fontId="4"/>
  </si>
  <si>
    <t>★20年アフターパックをお申し込みの方は、初期点検実施日から1年後の日時を設定させて頂きます。</t>
    <rPh sb="21" eb="23">
      <t>ショキ</t>
    </rPh>
    <phoneticPr fontId="4"/>
  </si>
  <si>
    <t>現地初期設定サービス実施希望日（年月日）</t>
    <rPh sb="0" eb="2">
      <t>ゲンチ</t>
    </rPh>
    <phoneticPr fontId="4"/>
  </si>
  <si>
    <t>現地初期設定サービス実施時間帯</t>
    <rPh sb="0" eb="2">
      <t>ゲンチ</t>
    </rPh>
    <phoneticPr fontId="4"/>
  </si>
  <si>
    <r>
      <t>※２　1-5項の通信方式が</t>
    </r>
    <r>
      <rPr>
        <b/>
        <u/>
        <sz val="11"/>
        <color rgb="FF0000FF"/>
        <rFont val="ＭＳ Ｐゴシック"/>
        <family val="3"/>
        <charset val="128"/>
        <scheme val="minor"/>
      </rPr>
      <t>SIMカード方式</t>
    </r>
    <r>
      <rPr>
        <sz val="11"/>
        <rFont val="ＭＳ Ｐゴシック"/>
        <family val="3"/>
        <charset val="128"/>
        <scheme val="minor"/>
      </rPr>
      <t>の場合は、本登録書のメール送信日から</t>
    </r>
    <r>
      <rPr>
        <b/>
        <u/>
        <sz val="11"/>
        <color rgb="FF0000FF"/>
        <rFont val="ＭＳ Ｐゴシック"/>
        <family val="3"/>
        <charset val="128"/>
        <scheme val="minor"/>
      </rPr>
      <t>３週間以降の日付</t>
    </r>
    <r>
      <rPr>
        <sz val="11"/>
        <rFont val="ＭＳ Ｐゴシック"/>
        <family val="3"/>
        <charset val="128"/>
        <scheme val="minor"/>
      </rPr>
      <t>をご記入願います。
　　　　（ＧＷ、お盆休み、年末年始をはさむ場合は、通常より納期がかかりますので別途ご相談ください。）
　　　　配達業者は当社指定です。配達業者の都合や交通状況等によりご希望日にお届けできない場合がありますが、予めご了承願います。</t>
    </r>
    <rPh sb="6" eb="7">
      <t>コウ</t>
    </rPh>
    <rPh sb="8" eb="10">
      <t>ツウシン</t>
    </rPh>
    <rPh sb="10" eb="12">
      <t>ホウシキ</t>
    </rPh>
    <phoneticPr fontId="4"/>
  </si>
  <si>
    <r>
      <t>下記１～１０項の</t>
    </r>
    <r>
      <rPr>
        <b/>
        <sz val="11"/>
        <color rgb="FF0000FF"/>
        <rFont val="ＭＳ Ｐゴシック"/>
        <family val="3"/>
        <charset val="128"/>
        <scheme val="minor"/>
      </rPr>
      <t>青枠内</t>
    </r>
    <r>
      <rPr>
        <sz val="11"/>
        <color theme="1"/>
        <rFont val="ＭＳ Ｐゴシック"/>
        <family val="2"/>
        <charset val="128"/>
        <scheme val="minor"/>
      </rPr>
      <t>をご記入、選択の上、メールで本登録書をお送りください。（送信方法は末尾を参照ください。）</t>
    </r>
    <rPh sb="6" eb="7">
      <t>コウ</t>
    </rPh>
    <rPh sb="47" eb="49">
      <t>サンショウ</t>
    </rPh>
    <phoneticPr fontId="4"/>
  </si>
  <si>
    <t>※７　経済産業省より通知される「認定通知書」に記載されています。　発電所全体として１つの設備ＩＤしかない場合は、同じ設備ＩＤを入力願います。</t>
    <rPh sb="3" eb="5">
      <t>ケイザイ</t>
    </rPh>
    <rPh sb="5" eb="8">
      <t>サンギョウショウ</t>
    </rPh>
    <rPh sb="10" eb="12">
      <t>ツウチ</t>
    </rPh>
    <rPh sb="16" eb="18">
      <t>ニンテイ</t>
    </rPh>
    <rPh sb="18" eb="20">
      <t>ツウチ</t>
    </rPh>
    <rPh sb="20" eb="21">
      <t>ショ</t>
    </rPh>
    <rPh sb="23" eb="25">
      <t>キサイ</t>
    </rPh>
    <rPh sb="44" eb="46">
      <t>セツビ</t>
    </rPh>
    <phoneticPr fontId="4"/>
  </si>
  <si>
    <r>
      <t>”：”を除いた</t>
    </r>
    <r>
      <rPr>
        <u/>
        <sz val="11"/>
        <color theme="1"/>
        <rFont val="ＭＳ Ｐゴシック"/>
        <family val="3"/>
        <charset val="128"/>
        <scheme val="minor"/>
      </rPr>
      <t>右から６桁の英数字</t>
    </r>
    <r>
      <rPr>
        <sz val="11"/>
        <color theme="1"/>
        <rFont val="ＭＳ Ｐゴシック"/>
        <family val="3"/>
        <charset val="128"/>
        <scheme val="minor"/>
      </rPr>
      <t>　例）00314F</t>
    </r>
    <rPh sb="17" eb="18">
      <t>レイ</t>
    </rPh>
    <phoneticPr fontId="4"/>
  </si>
  <si>
    <t>SIMカード方式</t>
  </si>
  <si>
    <t>判定式-4
（区画数との相違）他</t>
    <rPh sb="0" eb="2">
      <t>ハンテイ</t>
    </rPh>
    <rPh sb="2" eb="3">
      <t>シキ</t>
    </rPh>
    <rPh sb="7" eb="9">
      <t>クカク</t>
    </rPh>
    <rPh sb="9" eb="10">
      <t>スウ</t>
    </rPh>
    <rPh sb="12" eb="14">
      <t>ソウイ</t>
    </rPh>
    <rPh sb="15" eb="16">
      <t>タ</t>
    </rPh>
    <phoneticPr fontId="4"/>
  </si>
  <si>
    <t>判定式-3
（ｸﾗｳﾄﾞ9区画以内）他</t>
    <rPh sb="0" eb="2">
      <t>ハンテイ</t>
    </rPh>
    <rPh sb="2" eb="3">
      <t>シキ</t>
    </rPh>
    <rPh sb="14" eb="16">
      <t>イナイ</t>
    </rPh>
    <rPh sb="16" eb="17">
      <t>）</t>
    </rPh>
    <rPh sb="18" eb="19">
      <t>タ</t>
    </rPh>
    <phoneticPr fontId="4"/>
  </si>
  <si>
    <t>判定式-2
（昇順＋歯抜け）他</t>
    <rPh sb="0" eb="2">
      <t>ハンテイ</t>
    </rPh>
    <rPh sb="2" eb="3">
      <t>シキ</t>
    </rPh>
    <rPh sb="7" eb="9">
      <t>ショウジュン</t>
    </rPh>
    <rPh sb="10" eb="12">
      <t>ハヌ</t>
    </rPh>
    <rPh sb="14" eb="15">
      <t>タ</t>
    </rPh>
    <phoneticPr fontId="4"/>
  </si>
  <si>
    <r>
      <t>本シートは</t>
    </r>
    <r>
      <rPr>
        <b/>
        <sz val="11"/>
        <rFont val="ＭＳ Ｐゴシック"/>
        <family val="3"/>
        <charset val="128"/>
        <scheme val="minor"/>
      </rPr>
      <t>「</t>
    </r>
    <r>
      <rPr>
        <b/>
        <u/>
        <sz val="11"/>
        <rFont val="ＭＳ Ｐゴシック"/>
        <family val="3"/>
        <charset val="128"/>
        <scheme val="minor"/>
      </rPr>
      <t>SOLGRID MANAGER 太陽光発電用 監視サービス</t>
    </r>
    <r>
      <rPr>
        <b/>
        <sz val="11"/>
        <rFont val="ＭＳ Ｐゴシック"/>
        <family val="3"/>
        <charset val="128"/>
        <scheme val="minor"/>
      </rPr>
      <t>」</t>
    </r>
    <r>
      <rPr>
        <sz val="11"/>
        <rFont val="ＭＳ Ｐゴシック"/>
        <family val="2"/>
        <charset val="128"/>
        <scheme val="minor"/>
      </rPr>
      <t>又は</t>
    </r>
    <r>
      <rPr>
        <b/>
        <sz val="11"/>
        <rFont val="ＭＳ Ｐゴシック"/>
        <family val="3"/>
        <charset val="128"/>
        <scheme val="minor"/>
      </rPr>
      <t>「</t>
    </r>
    <r>
      <rPr>
        <b/>
        <u/>
        <sz val="11"/>
        <rFont val="ＭＳ Ｐゴシック"/>
        <family val="3"/>
        <charset val="128"/>
        <scheme val="minor"/>
      </rPr>
      <t>20年アフターパック</t>
    </r>
    <r>
      <rPr>
        <b/>
        <sz val="11"/>
        <rFont val="ＭＳ Ｐゴシック"/>
        <family val="3"/>
        <charset val="128"/>
        <scheme val="minor"/>
      </rPr>
      <t>」</t>
    </r>
    <r>
      <rPr>
        <sz val="11"/>
        <rFont val="ＭＳ Ｐゴシック"/>
        <family val="3"/>
        <charset val="128"/>
        <scheme val="minor"/>
      </rPr>
      <t>の監視サービスに関する登録書です。</t>
    </r>
    <rPh sb="0" eb="1">
      <t>ホン</t>
    </rPh>
    <rPh sb="36" eb="37">
      <t>マタ</t>
    </rPh>
    <rPh sb="41" eb="42">
      <t>ネン</t>
    </rPh>
    <rPh sb="51" eb="53">
      <t>カンシ</t>
    </rPh>
    <rPh sb="58" eb="59">
      <t>カン</t>
    </rPh>
    <rPh sb="61" eb="63">
      <t>トウロク</t>
    </rPh>
    <rPh sb="63" eb="64">
      <t>ショ</t>
    </rPh>
    <phoneticPr fontId="4"/>
  </si>
  <si>
    <t>リストより選択</t>
    <phoneticPr fontId="4"/>
  </si>
  <si>
    <t>＊必須項目です</t>
    <phoneticPr fontId="4"/>
  </si>
  <si>
    <t>＊必須項目です</t>
  </si>
  <si>
    <t>”入力シート”記載の発電所ＩＤが反映されます。発電所IDが複数ある場合には、枝番No.が小さいものを記載願います。</t>
    <phoneticPr fontId="4"/>
  </si>
  <si>
    <t>クラウド監視サービスLite U-300kW</t>
    <phoneticPr fontId="4"/>
  </si>
  <si>
    <t>クラウド監視サービスLite O-300kW</t>
    <phoneticPr fontId="4"/>
  </si>
  <si>
    <t>クラウド監視サービスLite U-50kW</t>
    <phoneticPr fontId="4"/>
  </si>
  <si>
    <t>クラウド区画分譲オプションサービスLite</t>
    <phoneticPr fontId="4"/>
  </si>
  <si>
    <r>
      <rPr>
        <b/>
        <sz val="12"/>
        <rFont val="ＭＳ Ｐゴシック"/>
        <family val="3"/>
        <charset val="128"/>
        <scheme val="minor"/>
      </rPr>
      <t>３．［「監視サービス利用登録完了通知書」　お届け先情報］</t>
    </r>
    <r>
      <rPr>
        <b/>
        <sz val="11"/>
        <rFont val="ＭＳ Ｐゴシック"/>
        <family val="3"/>
        <charset val="128"/>
        <scheme val="minor"/>
      </rPr>
      <t xml:space="preserve">
　　</t>
    </r>
    <r>
      <rPr>
        <sz val="11"/>
        <rFont val="ＭＳ Ｐゴシック"/>
        <family val="3"/>
        <charset val="128"/>
        <scheme val="minor"/>
      </rPr>
      <t>★</t>
    </r>
    <r>
      <rPr>
        <b/>
        <u/>
        <sz val="11"/>
        <color rgb="FF008000"/>
        <rFont val="ＭＳ Ｐゴシック"/>
        <family val="3"/>
        <charset val="128"/>
        <scheme val="minor"/>
      </rPr>
      <t>LAN接続方式</t>
    </r>
    <r>
      <rPr>
        <sz val="11"/>
        <rFont val="ＭＳ Ｐゴシック"/>
        <family val="3"/>
        <charset val="128"/>
        <scheme val="minor"/>
      </rPr>
      <t>の場合　・・・　2-2項の監視サービス開始予定日前日までに、3-10項のアドレスにメール送信致します。</t>
    </r>
    <r>
      <rPr>
        <b/>
        <sz val="12"/>
        <rFont val="ＭＳ Ｐゴシック"/>
        <family val="3"/>
        <charset val="128"/>
        <scheme val="minor"/>
      </rPr>
      <t xml:space="preserve">
</t>
    </r>
    <r>
      <rPr>
        <b/>
        <sz val="11"/>
        <rFont val="ＭＳ Ｐゴシック"/>
        <family val="3"/>
        <charset val="128"/>
        <scheme val="minor"/>
      </rPr>
      <t>　　</t>
    </r>
    <r>
      <rPr>
        <sz val="11"/>
        <rFont val="ＭＳ Ｐゴシック"/>
        <family val="3"/>
        <charset val="128"/>
        <scheme val="minor"/>
      </rPr>
      <t>★</t>
    </r>
    <r>
      <rPr>
        <b/>
        <u/>
        <sz val="11"/>
        <color rgb="FF0000FF"/>
        <rFont val="ＭＳ Ｐゴシック"/>
        <family val="3"/>
        <charset val="128"/>
        <scheme val="minor"/>
      </rPr>
      <t>SIMカード方式</t>
    </r>
    <r>
      <rPr>
        <sz val="11"/>
        <rFont val="ＭＳ Ｐゴシック"/>
        <family val="3"/>
        <charset val="128"/>
        <scheme val="minor"/>
      </rPr>
      <t>の場合　・・・　</t>
    </r>
    <r>
      <rPr>
        <u/>
        <sz val="11"/>
        <rFont val="ＭＳ Ｐゴシック"/>
        <family val="3"/>
        <charset val="128"/>
        <scheme val="minor"/>
      </rPr>
      <t>通信用ＳＩＭカード</t>
    </r>
    <r>
      <rPr>
        <sz val="11"/>
        <rFont val="ＭＳ Ｐゴシック"/>
        <family val="3"/>
        <charset val="128"/>
        <scheme val="minor"/>
      </rPr>
      <t>、「</t>
    </r>
    <r>
      <rPr>
        <u/>
        <sz val="11"/>
        <rFont val="ＭＳ Ｐゴシック"/>
        <family val="3"/>
        <charset val="128"/>
        <scheme val="minor"/>
      </rPr>
      <t>ＳＩＭカード取付ガイド</t>
    </r>
    <r>
      <rPr>
        <sz val="11"/>
        <rFont val="ＭＳ Ｐゴシック"/>
        <family val="3"/>
        <charset val="128"/>
        <scheme val="minor"/>
      </rPr>
      <t>」、「</t>
    </r>
    <r>
      <rPr>
        <u/>
        <sz val="11"/>
        <rFont val="ＭＳ Ｐゴシック"/>
        <family val="3"/>
        <charset val="128"/>
        <scheme val="minor"/>
      </rPr>
      <t>監視サービス利用登録完了通知書</t>
    </r>
    <r>
      <rPr>
        <sz val="11"/>
        <rFont val="ＭＳ Ｐゴシック"/>
        <family val="3"/>
        <charset val="128"/>
        <scheme val="minor"/>
      </rPr>
      <t>」を下記お届け先に送付致します。
  　　　　　　　　　　　　　　　　　　　　   （SIMカード方式の監視サービスから20年アフターパックへ変更された場合は、SIMカードの送付はありません。）</t>
    </r>
    <rPh sb="35" eb="37">
      <t>セツゾク</t>
    </rPh>
    <rPh sb="37" eb="39">
      <t>ホウシキ</t>
    </rPh>
    <rPh sb="40" eb="42">
      <t>バアイ</t>
    </rPh>
    <rPh sb="73" eb="74">
      <t>コウ</t>
    </rPh>
    <rPh sb="103" eb="105">
      <t>バアイ</t>
    </rPh>
    <rPh sb="152" eb="154">
      <t>カキ</t>
    </rPh>
    <rPh sb="155" eb="156">
      <t>トド</t>
    </rPh>
    <rPh sb="157" eb="158">
      <t>サキ</t>
    </rPh>
    <rPh sb="159" eb="161">
      <t>ソウフ</t>
    </rPh>
    <rPh sb="199" eb="201">
      <t>ホウシキ</t>
    </rPh>
    <rPh sb="202" eb="204">
      <t>カンシ</t>
    </rPh>
    <rPh sb="221" eb="223">
      <t>ヘンコウ</t>
    </rPh>
    <rPh sb="226" eb="228">
      <t>バアイ</t>
    </rPh>
    <rPh sb="237" eb="239">
      <t>ソウフ</t>
    </rPh>
    <phoneticPr fontId="4"/>
  </si>
  <si>
    <t>ローカル監視サービス 
（監視代行オプション 有り）</t>
    <rPh sb="4" eb="6">
      <t>カンシ</t>
    </rPh>
    <rPh sb="13" eb="15">
      <t>カンシ</t>
    </rPh>
    <rPh sb="15" eb="17">
      <t>ダイコウ</t>
    </rPh>
    <rPh sb="23" eb="24">
      <t>ア</t>
    </rPh>
    <phoneticPr fontId="1"/>
  </si>
  <si>
    <t>クラウド監視サービス U-300kW 
（監視代行オプション 有り）</t>
    <phoneticPr fontId="4"/>
  </si>
  <si>
    <t>クラウド監視サービス O-300kW 
（監視代行オプション 有り）</t>
    <phoneticPr fontId="4"/>
  </si>
  <si>
    <t>クラウド監視サービスLite U-50kW 
（監視代行オプション 有り）</t>
    <phoneticPr fontId="4"/>
  </si>
  <si>
    <t>クラウド監視サービスLite U-300kW 
（監視代行オプション 有り）</t>
    <phoneticPr fontId="4"/>
  </si>
  <si>
    <t>クラウド監視サービスLite O-300kW 
（監視代行オプション 有り）</t>
    <phoneticPr fontId="4"/>
  </si>
  <si>
    <t>5-43</t>
  </si>
  <si>
    <t>5-43</t>
    <phoneticPr fontId="4"/>
  </si>
  <si>
    <t>5-44</t>
  </si>
  <si>
    <t>5-44</t>
    <phoneticPr fontId="4"/>
  </si>
  <si>
    <t>5-45</t>
  </si>
  <si>
    <t>5-45</t>
    <phoneticPr fontId="4"/>
  </si>
  <si>
    <t>オーナー様メールアドレス</t>
    <phoneticPr fontId="4"/>
  </si>
  <si>
    <t>オーナー様向けメール通知設定 月次レポート</t>
    <rPh sb="5" eb="6">
      <t>ム</t>
    </rPh>
    <phoneticPr fontId="4"/>
  </si>
  <si>
    <t>オーナー様向けメール通知設定 異常発生・復旧</t>
    <phoneticPr fontId="4"/>
  </si>
  <si>
    <t>オーナー様向けメール通知設定 異常対応更新</t>
    <phoneticPr fontId="4"/>
  </si>
  <si>
    <t>保守責任事業者様向けメール通知設定 月次レポート</t>
    <phoneticPr fontId="4"/>
  </si>
  <si>
    <t>保守責任事業者様向けメール通知設定 異常発生・復旧</t>
    <phoneticPr fontId="4"/>
  </si>
  <si>
    <t>保守責任事業者様向けメール通知設定 異常対応更新</t>
    <phoneticPr fontId="4"/>
  </si>
  <si>
    <r>
      <t>７．［当社からの異常通知／レポート送付先について］　</t>
    </r>
    <r>
      <rPr>
        <b/>
        <u/>
        <sz val="12"/>
        <color rgb="FF0000FF"/>
        <rFont val="ＭＳ Ｐゴシック"/>
        <family val="3"/>
        <charset val="128"/>
        <scheme val="minor"/>
      </rPr>
      <t>★監視代行オプションサービス又は20年アフターパックをお申込み済みのお客様のみご記入ください。</t>
    </r>
    <rPh sb="40" eb="41">
      <t>マタ</t>
    </rPh>
    <rPh sb="44" eb="45">
      <t>ネン</t>
    </rPh>
    <rPh sb="57" eb="58">
      <t>ス</t>
    </rPh>
    <rPh sb="66" eb="68">
      <t>キニュウ</t>
    </rPh>
    <phoneticPr fontId="4"/>
  </si>
  <si>
    <t>クラウド監視サービス U-300kW 
（監視代行オプション 有り）</t>
  </si>
  <si>
    <t>６項記載の保守責任事業者様</t>
  </si>
  <si>
    <t>お申込み済みの監視サービス種別</t>
    <rPh sb="1" eb="3">
      <t>モウシコ</t>
    </rPh>
    <rPh sb="4" eb="5">
      <t>ス</t>
    </rPh>
    <phoneticPr fontId="4"/>
  </si>
  <si>
    <t>太陽光パネル１枚当たりの出力　（単位：W）</t>
    <rPh sb="16" eb="18">
      <t>タンイ</t>
    </rPh>
    <phoneticPr fontId="4"/>
  </si>
  <si>
    <t>売電単価　（単位：円）</t>
    <rPh sb="6" eb="8">
      <t>タンイ</t>
    </rPh>
    <rPh sb="9" eb="10">
      <t>エン</t>
    </rPh>
    <phoneticPr fontId="4"/>
  </si>
  <si>
    <t>例）49.5　（数値のみ記入ください）</t>
    <rPh sb="8" eb="10">
      <t>スウチ</t>
    </rPh>
    <rPh sb="12" eb="13">
      <t>キ</t>
    </rPh>
    <rPh sb="13" eb="14">
      <t>ニュウ</t>
    </rPh>
    <phoneticPr fontId="4"/>
  </si>
  <si>
    <t>例）5　（数値のみ記入ください　最大30まで）</t>
    <phoneticPr fontId="4"/>
  </si>
  <si>
    <t>例）27　（数値のみ記入ください）</t>
    <rPh sb="6" eb="8">
      <t>スウチ</t>
    </rPh>
    <rPh sb="10" eb="12">
      <t>キニュウ</t>
    </rPh>
    <phoneticPr fontId="4"/>
  </si>
  <si>
    <t>例）260　（数値のみ記入ください）</t>
    <phoneticPr fontId="4"/>
  </si>
  <si>
    <r>
      <t>　★ご記入頂く個人情報の取り扱いにつきましては、当社</t>
    </r>
    <r>
      <rPr>
        <sz val="11"/>
        <rFont val="ＭＳ Ｐゴシック"/>
        <family val="3"/>
        <charset val="128"/>
        <scheme val="minor"/>
      </rPr>
      <t>HPに掲載の監視サービス仕様書をご確認ください。（https://www.shindengen.co.jp/products/eco_energy/solar/download/）</t>
    </r>
    <rPh sb="24" eb="26">
      <t>トウシャ</t>
    </rPh>
    <rPh sb="29" eb="31">
      <t>ケイサイ</t>
    </rPh>
    <rPh sb="32" eb="34">
      <t>カンシ</t>
    </rPh>
    <phoneticPr fontId="4"/>
  </si>
  <si>
    <t>４．パワーコンディショナ 設置環境</t>
    <rPh sb="13" eb="15">
      <t>セッチ</t>
    </rPh>
    <rPh sb="15" eb="17">
      <t>カンキョウ</t>
    </rPh>
    <phoneticPr fontId="4"/>
  </si>
  <si>
    <t>５．SOLGRID MANAGER 設置環境</t>
    <rPh sb="18" eb="20">
      <t>セッチ</t>
    </rPh>
    <rPh sb="20" eb="22">
      <t>カンキョウ</t>
    </rPh>
    <phoneticPr fontId="4"/>
  </si>
  <si>
    <t>３．パワーコンディショナ 設置環境</t>
    <rPh sb="13" eb="15">
      <t>セッチ</t>
    </rPh>
    <rPh sb="15" eb="17">
      <t>カンキョウ</t>
    </rPh>
    <phoneticPr fontId="4"/>
  </si>
  <si>
    <t>４．SOLGRID MANAGER 設置環境</t>
    <rPh sb="18" eb="20">
      <t>セッチ</t>
    </rPh>
    <rPh sb="20" eb="22">
      <t>カンキョウ</t>
    </rPh>
    <phoneticPr fontId="4"/>
  </si>
  <si>
    <t>回答欄</t>
    <phoneticPr fontId="4"/>
  </si>
  <si>
    <r>
      <t>７．サービス実施希望日</t>
    </r>
    <r>
      <rPr>
        <b/>
        <sz val="11"/>
        <color rgb="FF0000FF"/>
        <rFont val="Meiryo UI"/>
        <family val="3"/>
        <charset val="128"/>
      </rPr>
      <t>（20年アフターパックをお申込みのお客様は不要です）</t>
    </r>
    <rPh sb="6" eb="8">
      <t>ジッシ</t>
    </rPh>
    <rPh sb="8" eb="11">
      <t>キボウビ</t>
    </rPh>
    <rPh sb="32" eb="34">
      <t>フヨウ</t>
    </rPh>
    <phoneticPr fontId="4"/>
  </si>
  <si>
    <r>
      <t>８．初期点検必要書類</t>
    </r>
    <r>
      <rPr>
        <b/>
        <sz val="11"/>
        <color rgb="FFFF0000"/>
        <rFont val="Meiryo UI"/>
        <family val="3"/>
        <charset val="128"/>
      </rPr>
      <t>（20年アフターパックをお申込みのお客様のみご記入下さい）</t>
    </r>
    <rPh sb="2" eb="4">
      <t>ショキ</t>
    </rPh>
    <phoneticPr fontId="4"/>
  </si>
  <si>
    <t>５．初期点検作業連絡先 等</t>
    <rPh sb="2" eb="4">
      <t>ショキ</t>
    </rPh>
    <rPh sb="4" eb="6">
      <t>テンケン</t>
    </rPh>
    <rPh sb="6" eb="8">
      <t>サギョウ</t>
    </rPh>
    <rPh sb="8" eb="11">
      <t>レンラクサキ</t>
    </rPh>
    <rPh sb="12" eb="13">
      <t>トウ</t>
    </rPh>
    <phoneticPr fontId="4"/>
  </si>
  <si>
    <t>作業実施日連絡先を選択ください。</t>
    <phoneticPr fontId="4"/>
  </si>
  <si>
    <t>作業報告書送付先を選択ください。</t>
    <phoneticPr fontId="4"/>
  </si>
  <si>
    <t>６．現地初期設定作業連絡先 等</t>
    <rPh sb="2" eb="4">
      <t>ゲンチ</t>
    </rPh>
    <rPh sb="4" eb="6">
      <t>ショキ</t>
    </rPh>
    <rPh sb="6" eb="8">
      <t>セッテイ</t>
    </rPh>
    <rPh sb="8" eb="10">
      <t>サギョウ</t>
    </rPh>
    <rPh sb="10" eb="13">
      <t>レンラクサキ</t>
    </rPh>
    <rPh sb="14" eb="15">
      <t>トウ</t>
    </rPh>
    <phoneticPr fontId="4"/>
  </si>
  <si>
    <t>回答欄</t>
    <phoneticPr fontId="4"/>
  </si>
  <si>
    <t>作業実施日連絡先を選択ください。</t>
    <rPh sb="5" eb="8">
      <t>レンラクサキ</t>
    </rPh>
    <phoneticPr fontId="4"/>
  </si>
  <si>
    <t>作業報告書送付先を選択ください。</t>
    <phoneticPr fontId="4"/>
  </si>
  <si>
    <r>
      <t>＊必須項目です</t>
    </r>
    <r>
      <rPr>
        <sz val="10"/>
        <rFont val="Meiryo UI"/>
        <family val="3"/>
        <charset val="128"/>
      </rPr>
      <t>　リストより選択。リスト以外の連絡先をご希望の場合はご連絡願います。</t>
    </r>
    <rPh sb="19" eb="21">
      <t>イガイ</t>
    </rPh>
    <rPh sb="22" eb="25">
      <t>レンラクサキ</t>
    </rPh>
    <rPh sb="27" eb="29">
      <t>キボウ</t>
    </rPh>
    <rPh sb="30" eb="32">
      <t>バアイ</t>
    </rPh>
    <rPh sb="34" eb="36">
      <t>レンラク</t>
    </rPh>
    <rPh sb="36" eb="37">
      <t>ネガ</t>
    </rPh>
    <phoneticPr fontId="4"/>
  </si>
  <si>
    <r>
      <t>＊必須項目です</t>
    </r>
    <r>
      <rPr>
        <sz val="10"/>
        <rFont val="Meiryo UI"/>
        <family val="3"/>
        <charset val="128"/>
      </rPr>
      <t>　リストより選択。リスト以外の送付先をご希望の場合はご連絡願います。</t>
    </r>
    <rPh sb="19" eb="21">
      <t>イガイ</t>
    </rPh>
    <rPh sb="22" eb="24">
      <t>ソウフ</t>
    </rPh>
    <rPh sb="24" eb="25">
      <t>サキ</t>
    </rPh>
    <rPh sb="27" eb="29">
      <t>キボウ</t>
    </rPh>
    <rPh sb="30" eb="32">
      <t>バアイ</t>
    </rPh>
    <rPh sb="34" eb="36">
      <t>レンラク</t>
    </rPh>
    <rPh sb="36" eb="37">
      <t>ネガ</t>
    </rPh>
    <phoneticPr fontId="4"/>
  </si>
  <si>
    <r>
      <t>＊必須項目です</t>
    </r>
    <r>
      <rPr>
        <sz val="10"/>
        <rFont val="Meiryo UI"/>
        <family val="3"/>
        <charset val="128"/>
      </rPr>
      <t>　リストより選択。リスト以外の連絡先をご希望の場合はご連絡願います。</t>
    </r>
    <phoneticPr fontId="4"/>
  </si>
  <si>
    <r>
      <t>＊必須項目です</t>
    </r>
    <r>
      <rPr>
        <sz val="10"/>
        <rFont val="Meiryo UI"/>
        <family val="3"/>
        <charset val="128"/>
      </rPr>
      <t>　リストより選択。リスト以外の送付先をご希望の場合はご連絡願います。</t>
    </r>
    <phoneticPr fontId="4"/>
  </si>
  <si>
    <t>＊必須項目です</t>
    <phoneticPr fontId="4"/>
  </si>
  <si>
    <t>　　※</t>
    <phoneticPr fontId="4"/>
  </si>
  <si>
    <t>　　※設置高は、パワーコンディショナ下部までの高さを指します。</t>
    <phoneticPr fontId="4"/>
  </si>
  <si>
    <t>　　※設置高は、SOLGRID MANAGER下部までの高さを指します。</t>
    <phoneticPr fontId="4"/>
  </si>
  <si>
    <t>　　※設置高は、パワーコンディショナ下部までの高さを指します。</t>
    <phoneticPr fontId="4"/>
  </si>
  <si>
    <t>　　※設置高は、SOLGRID MANAGER下部までの高さを指します。</t>
    <phoneticPr fontId="4"/>
  </si>
  <si>
    <t>通信ID 1　発電所区画No　※１７</t>
    <phoneticPr fontId="4"/>
  </si>
  <si>
    <t>※１５　各電力会社発行の資料を参照ください。</t>
    <rPh sb="4" eb="7">
      <t>カクデンリョク</t>
    </rPh>
    <rPh sb="7" eb="9">
      <t>ガイシャ</t>
    </rPh>
    <rPh sb="9" eb="11">
      <t>ハッコウ</t>
    </rPh>
    <rPh sb="12" eb="14">
      <t>シリョウ</t>
    </rPh>
    <rPh sb="15" eb="17">
      <t>サンショウ</t>
    </rPh>
    <phoneticPr fontId="4"/>
  </si>
  <si>
    <t>※１６　パワーコンディショナ（PCS）の通信ＩＤ順に型名等を記入願います。通信ＩＤについてはパワーコンディショナの取扱説明書を参照ください。</t>
    <phoneticPr fontId="4"/>
  </si>
  <si>
    <t>登録ID：</t>
    <rPh sb="0" eb="2">
      <t>トウロク</t>
    </rPh>
    <phoneticPr fontId="4"/>
  </si>
  <si>
    <t>監視装置作番：</t>
    <rPh sb="0" eb="2">
      <t>カンシ</t>
    </rPh>
    <rPh sb="2" eb="4">
      <t>ソウチ</t>
    </rPh>
    <rPh sb="4" eb="5">
      <t>サク</t>
    </rPh>
    <rPh sb="5" eb="6">
      <t>バン</t>
    </rPh>
    <phoneticPr fontId="4"/>
  </si>
  <si>
    <t>監視サービス作番：</t>
    <rPh sb="0" eb="2">
      <t>カンシ</t>
    </rPh>
    <rPh sb="6" eb="7">
      <t>サク</t>
    </rPh>
    <rPh sb="7" eb="8">
      <t>バン</t>
    </rPh>
    <phoneticPr fontId="4"/>
  </si>
  <si>
    <t>監視サービス種別：</t>
    <rPh sb="0" eb="2">
      <t>カンシ</t>
    </rPh>
    <rPh sb="6" eb="8">
      <t>シュベツ</t>
    </rPh>
    <phoneticPr fontId="4"/>
  </si>
  <si>
    <t>製造番号照合結果：</t>
    <rPh sb="0" eb="2">
      <t>セイゾウ</t>
    </rPh>
    <rPh sb="2" eb="4">
      <t>バンゴウ</t>
    </rPh>
    <rPh sb="4" eb="6">
      <t>ショウゴウ</t>
    </rPh>
    <rPh sb="6" eb="8">
      <t>ケッカ</t>
    </rPh>
    <phoneticPr fontId="4"/>
  </si>
  <si>
    <t>SIM電話番号：</t>
    <rPh sb="3" eb="5">
      <t>デンワ</t>
    </rPh>
    <rPh sb="5" eb="7">
      <t>バンゴウ</t>
    </rPh>
    <phoneticPr fontId="4"/>
  </si>
  <si>
    <t>※１３　1日の単位で、同じ場所に設置された他のPCSと比較し発電量が閾値を下回る場合に検知されます。</t>
    <rPh sb="27" eb="29">
      <t>ヒカク</t>
    </rPh>
    <rPh sb="30" eb="32">
      <t>ハツデン</t>
    </rPh>
    <rPh sb="32" eb="33">
      <t>リョウ</t>
    </rPh>
    <phoneticPr fontId="4"/>
  </si>
  <si>
    <t>※１４　1ヶ月の単位で、同じ場所に設置された他のPCSと比較し発電量が閾値を下回る場合に検知されます。</t>
    <rPh sb="28" eb="30">
      <t>ヒカク</t>
    </rPh>
    <rPh sb="31" eb="33">
      <t>ハツデン</t>
    </rPh>
    <rPh sb="33" eb="34">
      <t>リョウ</t>
    </rPh>
    <phoneticPr fontId="4"/>
  </si>
  <si>
    <t>※１０　日射量が0.4kWh/㎡を上回るにも関わらず、発電量が0ｋWh以下である場合に検知されます。</t>
    <phoneticPr fontId="4"/>
  </si>
  <si>
    <t>※１１　1日の理想発電量（実績日射量×モジュール搭載容量）に対し、実績発電量が閾値を下回る場合に検知されます。</t>
    <rPh sb="45" eb="47">
      <t>バアイ</t>
    </rPh>
    <phoneticPr fontId="4"/>
  </si>
  <si>
    <t>※１２　1ヶ月の理想発電量（実績日射量×モジュール搭載容量）に対し、実績発電量が閾値を下回る場合に検知されます。</t>
    <rPh sb="46" eb="48">
      <t>バアイ</t>
    </rPh>
    <phoneticPr fontId="4"/>
  </si>
  <si>
    <t>※１７　５．［発電所情報］で発電所名称を登録した区画番号をご記入ください。区画番号は昇順且つ歯抜けが無く、発電所を登録した区画番号を全て記入してください。</t>
    <rPh sb="14" eb="16">
      <t>ハツデン</t>
    </rPh>
    <rPh sb="16" eb="17">
      <t>ショ</t>
    </rPh>
    <rPh sb="17" eb="19">
      <t>メイショウ</t>
    </rPh>
    <rPh sb="20" eb="22">
      <t>トウロク</t>
    </rPh>
    <rPh sb="39" eb="41">
      <t>バンゴウ</t>
    </rPh>
    <rPh sb="53" eb="55">
      <t>ハツデン</t>
    </rPh>
    <rPh sb="55" eb="56">
      <t>ショ</t>
    </rPh>
    <rPh sb="57" eb="59">
      <t>トウロク</t>
    </rPh>
    <rPh sb="61" eb="63">
      <t>クカク</t>
    </rPh>
    <rPh sb="63" eb="65">
      <t>バンゴウ</t>
    </rPh>
    <phoneticPr fontId="4"/>
  </si>
  <si>
    <t>発電停止　通知設定</t>
    <rPh sb="0" eb="2">
      <t>ハツデン</t>
    </rPh>
    <rPh sb="2" eb="4">
      <t>テイシ</t>
    </rPh>
    <rPh sb="5" eb="7">
      <t>ツウチ</t>
    </rPh>
    <rPh sb="7" eb="9">
      <t>セッテイ</t>
    </rPh>
    <phoneticPr fontId="1"/>
  </si>
  <si>
    <t>PCS発電量低下(日)　検知閾値（単位：％）</t>
    <rPh sb="3" eb="5">
      <t>ハツデン</t>
    </rPh>
    <rPh sb="5" eb="6">
      <t>リョウ</t>
    </rPh>
    <rPh sb="6" eb="8">
      <t>テイカ</t>
    </rPh>
    <rPh sb="9" eb="10">
      <t>ニチ</t>
    </rPh>
    <rPh sb="12" eb="14">
      <t>ケンチ</t>
    </rPh>
    <rPh sb="14" eb="16">
      <t>シキイチ</t>
    </rPh>
    <rPh sb="17" eb="19">
      <t>タンイ</t>
    </rPh>
    <phoneticPr fontId="1"/>
  </si>
  <si>
    <t>PCS発電量低下(月)　検知閾値（単位：％）</t>
    <rPh sb="3" eb="5">
      <t>ハツデン</t>
    </rPh>
    <rPh sb="5" eb="6">
      <t>リョウ</t>
    </rPh>
    <rPh sb="6" eb="8">
      <t>テイカ</t>
    </rPh>
    <rPh sb="9" eb="10">
      <t>ツキ</t>
    </rPh>
    <rPh sb="12" eb="14">
      <t>ケンチ</t>
    </rPh>
    <rPh sb="14" eb="15">
      <t>シキイ</t>
    </rPh>
    <rPh sb="15" eb="16">
      <t>チ</t>
    </rPh>
    <rPh sb="17" eb="19">
      <t>タンイ</t>
    </rPh>
    <phoneticPr fontId="1"/>
  </si>
  <si>
    <t>PCS間乖離(日)　検知閾値（単位：％）</t>
    <rPh sb="3" eb="4">
      <t>アイダ</t>
    </rPh>
    <rPh sb="4" eb="6">
      <t>カイリ</t>
    </rPh>
    <rPh sb="7" eb="8">
      <t>ニチ</t>
    </rPh>
    <rPh sb="10" eb="12">
      <t>ケンチ</t>
    </rPh>
    <rPh sb="12" eb="13">
      <t>シキイ</t>
    </rPh>
    <rPh sb="13" eb="14">
      <t>チ</t>
    </rPh>
    <rPh sb="15" eb="17">
      <t>タンイ</t>
    </rPh>
    <phoneticPr fontId="1"/>
  </si>
  <si>
    <t>PCS間乖離(月)　検知閾値（単位：％）</t>
    <rPh sb="3" eb="4">
      <t>アイダ</t>
    </rPh>
    <rPh sb="4" eb="6">
      <t>カイリ</t>
    </rPh>
    <rPh sb="7" eb="8">
      <t>ツキ</t>
    </rPh>
    <rPh sb="10" eb="12">
      <t>ケンチ</t>
    </rPh>
    <rPh sb="12" eb="13">
      <t>シキイ</t>
    </rPh>
    <rPh sb="13" eb="14">
      <t>チ</t>
    </rPh>
    <rPh sb="15" eb="17">
      <t>タンイ</t>
    </rPh>
    <phoneticPr fontId="1"/>
  </si>
  <si>
    <t>合計枚数：</t>
    <rPh sb="0" eb="2">
      <t>ゴウケイ</t>
    </rPh>
    <rPh sb="2" eb="4">
      <t>マイスウ</t>
    </rPh>
    <phoneticPr fontId="4"/>
  </si>
  <si>
    <t>並列枚数：</t>
    <rPh sb="0" eb="2">
      <t>ヘイレツ</t>
    </rPh>
    <rPh sb="2" eb="4">
      <t>マイスウ</t>
    </rPh>
    <phoneticPr fontId="4"/>
  </si>
  <si>
    <t>直列枚数：</t>
    <rPh sb="0" eb="2">
      <t>チョクレツ</t>
    </rPh>
    <rPh sb="2" eb="4">
      <t>マイスウ</t>
    </rPh>
    <phoneticPr fontId="4"/>
  </si>
  <si>
    <r>
      <rPr>
        <b/>
        <sz val="12"/>
        <color theme="1"/>
        <rFont val="ＭＳ Ｐゴシック"/>
        <family val="3"/>
        <charset val="128"/>
        <scheme val="minor"/>
      </rPr>
      <t xml:space="preserve">１．［契約基礎情報］
</t>
    </r>
    <r>
      <rPr>
        <sz val="11"/>
        <color theme="1"/>
        <rFont val="ＭＳ Ｐゴシック"/>
        <family val="3"/>
        <charset val="128"/>
        <scheme val="minor"/>
      </rPr>
      <t>　　　★記入の際の参考資料として、『検査成績書』と『物品送付書』を右枠外に示します。
　　　★”出力制御ユニット・監視装置製造番号”と”MACアドレス”につきましては、出力制御ユニット・監視装置の扉内側のシールにも記載してあります。</t>
    </r>
    <rPh sb="18" eb="19">
      <t>サイ</t>
    </rPh>
    <phoneticPr fontId="4"/>
  </si>
  <si>
    <t>例）PA-S-000001　（半角英数字）</t>
    <rPh sb="15" eb="17">
      <t>ハンカク</t>
    </rPh>
    <rPh sb="17" eb="20">
      <t>エイスウジ</t>
    </rPh>
    <phoneticPr fontId="4"/>
  </si>
  <si>
    <t>通信ID 2　PCS毎の出力制御設定</t>
    <phoneticPr fontId="4"/>
  </si>
  <si>
    <t>通信ID 11　発電所区画No</t>
    <phoneticPr fontId="4"/>
  </si>
  <si>
    <t>5項［発電所情報］の区画”１”から始まります</t>
    <rPh sb="1" eb="2">
      <t>コウ</t>
    </rPh>
    <rPh sb="3" eb="5">
      <t>ハツデン</t>
    </rPh>
    <rPh sb="5" eb="6">
      <t>ジョ</t>
    </rPh>
    <rPh sb="6" eb="8">
      <t>ジョウホウ</t>
    </rPh>
    <rPh sb="10" eb="12">
      <t>クカク</t>
    </rPh>
    <rPh sb="17" eb="18">
      <t>ハジ</t>
    </rPh>
    <phoneticPr fontId="4"/>
  </si>
  <si>
    <t>通信ID 1　接続パネル合計枚数、直・並列枚数</t>
    <phoneticPr fontId="4"/>
  </si>
  <si>
    <t>必須</t>
  </si>
  <si>
    <t>8-167</t>
  </si>
  <si>
    <t>8-168</t>
  </si>
  <si>
    <t>8-169</t>
  </si>
  <si>
    <t>8-170</t>
  </si>
  <si>
    <t>8-171</t>
  </si>
  <si>
    <t xml:space="preserve"> ← 入力不要</t>
    <rPh sb="3" eb="5">
      <t>ニュウリョク</t>
    </rPh>
    <rPh sb="5" eb="7">
      <t>フヨウ</t>
    </rPh>
    <phoneticPr fontId="4"/>
  </si>
  <si>
    <r>
      <t>　　　</t>
    </r>
    <r>
      <rPr>
        <b/>
        <sz val="14"/>
        <color rgb="FF0000FF"/>
        <rFont val="ＭＳ Ｐゴシック"/>
        <family val="3"/>
        <charset val="128"/>
        <scheme val="minor"/>
      </rPr>
      <t>青枠内</t>
    </r>
    <r>
      <rPr>
        <b/>
        <sz val="14"/>
        <color theme="1"/>
        <rFont val="ＭＳ Ｐゴシック"/>
        <family val="3"/>
        <charset val="128"/>
        <scheme val="minor"/>
      </rPr>
      <t>のご記入、選択が終わりましたら、
　　　　１．内容にお間違いがないか、再度ご確認ください。
　　　　　　（Ｉ，Ｊ列の入力補助（＊）は、全ての記入内容のOK、NGを表しているものではありません。）
　　　　２．20年アフターパックのお申し込みが無く、且つ初期設定サービス不要の方はここで終了です。
　　　　　　ファイルを保存の上、下記アドレス宛てに記載の件名でメール送信願います。
　　　　　　★パスワードをかける場合はパスワード付き圧縮ファイルで送信願います。（パスワードも忘れずに送信願います。）
　　　　　　　　【アドレス】　pvservice@shindengen.co.jp
　　　　　　　　【件名】　SOLGRID MANAGER 太陽光発電用 監視サービス登録書　送信</t>
    </r>
    <phoneticPr fontId="4"/>
  </si>
  <si>
    <t>設置前等で不明な場合を除き、登録願います</t>
    <phoneticPr fontId="4"/>
  </si>
  <si>
    <t>自動計算</t>
    <rPh sb="0" eb="2">
      <t>ジドウ</t>
    </rPh>
    <rPh sb="2" eb="4">
      <t>ケイサン</t>
    </rPh>
    <phoneticPr fontId="4"/>
  </si>
  <si>
    <t>※１８　出力制御対象の発電所において出力制御対象外のPCSがある場合、対象外のPCSの出力制御設定は”しない”を、他のPCSは”する”を選択ください。</t>
    <rPh sb="4" eb="6">
      <t>シュツリョク</t>
    </rPh>
    <rPh sb="6" eb="8">
      <t>セイギョ</t>
    </rPh>
    <rPh sb="8" eb="10">
      <t>タイショウ</t>
    </rPh>
    <rPh sb="11" eb="13">
      <t>ハツデン</t>
    </rPh>
    <rPh sb="13" eb="14">
      <t>ショ</t>
    </rPh>
    <rPh sb="18" eb="20">
      <t>シュツリョク</t>
    </rPh>
    <rPh sb="20" eb="22">
      <t>セイギョ</t>
    </rPh>
    <rPh sb="22" eb="24">
      <t>タイショウ</t>
    </rPh>
    <rPh sb="24" eb="25">
      <t>ガイ</t>
    </rPh>
    <rPh sb="32" eb="34">
      <t>バアイ</t>
    </rPh>
    <rPh sb="35" eb="38">
      <t>タイショウガイ</t>
    </rPh>
    <rPh sb="43" eb="45">
      <t>シュツリョク</t>
    </rPh>
    <rPh sb="45" eb="47">
      <t>セイギョ</t>
    </rPh>
    <rPh sb="47" eb="49">
      <t>セッテイ</t>
    </rPh>
    <rPh sb="57" eb="58">
      <t>タ</t>
    </rPh>
    <rPh sb="68" eb="70">
      <t>センタク</t>
    </rPh>
    <phoneticPr fontId="4"/>
  </si>
  <si>
    <r>
      <t>９．</t>
    </r>
    <r>
      <rPr>
        <b/>
        <u/>
        <sz val="12"/>
        <color rgb="FF0000FF"/>
        <rFont val="ＭＳ Ｐゴシック"/>
        <family val="3"/>
        <charset val="128"/>
        <scheme val="minor"/>
      </rPr>
      <t>「20年アフターパック」</t>
    </r>
    <r>
      <rPr>
        <b/>
        <u/>
        <sz val="12"/>
        <color theme="1"/>
        <rFont val="ＭＳ Ｐゴシック"/>
        <family val="3"/>
        <charset val="128"/>
        <scheme val="minor"/>
      </rPr>
      <t>をお申込み済みのお客様へ</t>
    </r>
    <r>
      <rPr>
        <b/>
        <sz val="12"/>
        <color theme="1"/>
        <rFont val="ＭＳ Ｐゴシック"/>
        <family val="3"/>
        <charset val="128"/>
        <scheme val="minor"/>
      </rPr>
      <t>　（</t>
    </r>
    <r>
      <rPr>
        <b/>
        <u/>
        <sz val="12"/>
        <color theme="1"/>
        <rFont val="ＭＳ Ｐゴシック"/>
        <family val="3"/>
        <charset val="128"/>
        <scheme val="minor"/>
      </rPr>
      <t>お申し込みされていないお客様は１０項へ</t>
    </r>
    <r>
      <rPr>
        <b/>
        <sz val="12"/>
        <color theme="1"/>
        <rFont val="ＭＳ Ｐゴシック"/>
        <family val="3"/>
        <charset val="128"/>
        <scheme val="minor"/>
      </rPr>
      <t>）
　　　　　　　　　　　　　　　9-1　SOLGRID MANAG</t>
    </r>
    <r>
      <rPr>
        <b/>
        <sz val="12"/>
        <rFont val="ＭＳ Ｐゴシック"/>
        <family val="3"/>
        <charset val="128"/>
        <scheme val="minor"/>
      </rPr>
      <t>ERを</t>
    </r>
    <r>
      <rPr>
        <b/>
        <u/>
        <sz val="12"/>
        <rFont val="ＭＳ Ｐゴシック"/>
        <family val="3"/>
        <charset val="128"/>
        <scheme val="minor"/>
      </rPr>
      <t>導入済みの場合</t>
    </r>
    <r>
      <rPr>
        <b/>
        <sz val="12"/>
        <rFont val="ＭＳ Ｐゴシック"/>
        <family val="3"/>
        <charset val="128"/>
        <scheme val="minor"/>
      </rPr>
      <t>　⇒　”</t>
    </r>
    <r>
      <rPr>
        <b/>
        <u/>
        <sz val="12"/>
        <rFont val="ＭＳ Ｐゴシック"/>
        <family val="3"/>
        <charset val="128"/>
        <scheme val="minor"/>
      </rPr>
      <t>初期点検</t>
    </r>
    <r>
      <rPr>
        <b/>
        <sz val="12"/>
        <rFont val="ＭＳ Ｐゴシック"/>
        <family val="3"/>
        <charset val="128"/>
        <scheme val="minor"/>
      </rPr>
      <t>”シー</t>
    </r>
    <r>
      <rPr>
        <b/>
        <sz val="12"/>
        <color theme="1"/>
        <rFont val="ＭＳ Ｐゴシック"/>
        <family val="3"/>
        <charset val="128"/>
        <scheme val="minor"/>
      </rPr>
      <t>トへお進みください。
　　　　　　　　　　　　　　　9-2　</t>
    </r>
    <r>
      <rPr>
        <b/>
        <u/>
        <sz val="12"/>
        <color rgb="FF008000"/>
        <rFont val="ＭＳ Ｐゴシック"/>
        <family val="3"/>
        <charset val="128"/>
        <scheme val="minor"/>
      </rPr>
      <t>LAN接続方式</t>
    </r>
    <r>
      <rPr>
        <b/>
        <sz val="12"/>
        <color theme="1"/>
        <rFont val="ＭＳ Ｐゴシック"/>
        <family val="3"/>
        <charset val="128"/>
        <scheme val="minor"/>
      </rPr>
      <t>のSOLGRID MANAGERを新規導入される場合　⇒　</t>
    </r>
    <r>
      <rPr>
        <b/>
        <sz val="12"/>
        <color rgb="FF008000"/>
        <rFont val="ＭＳ Ｐゴシック"/>
        <family val="3"/>
        <charset val="128"/>
        <scheme val="minor"/>
      </rPr>
      <t>”</t>
    </r>
    <r>
      <rPr>
        <b/>
        <u/>
        <sz val="12"/>
        <color rgb="FF008000"/>
        <rFont val="ＭＳ Ｐゴシック"/>
        <family val="3"/>
        <charset val="128"/>
        <scheme val="minor"/>
      </rPr>
      <t>初期点検</t>
    </r>
    <r>
      <rPr>
        <b/>
        <sz val="12"/>
        <color rgb="FF008000"/>
        <rFont val="ＭＳ Ｐゴシック"/>
        <family val="3"/>
        <charset val="128"/>
        <scheme val="minor"/>
      </rPr>
      <t>”</t>
    </r>
    <r>
      <rPr>
        <b/>
        <sz val="12"/>
        <color theme="1"/>
        <rFont val="ＭＳ Ｐゴシック"/>
        <family val="3"/>
        <charset val="128"/>
        <scheme val="minor"/>
      </rPr>
      <t>シートへお進みください。
　　　　　　　　　　　　　　　9-3　</t>
    </r>
    <r>
      <rPr>
        <b/>
        <u/>
        <sz val="12"/>
        <color rgb="FF0000FF"/>
        <rFont val="ＭＳ Ｐゴシック"/>
        <family val="3"/>
        <charset val="128"/>
        <scheme val="minor"/>
      </rPr>
      <t>SIMカード方式</t>
    </r>
    <r>
      <rPr>
        <b/>
        <sz val="12"/>
        <color theme="1"/>
        <rFont val="ＭＳ Ｐゴシック"/>
        <family val="3"/>
        <charset val="128"/>
        <scheme val="minor"/>
      </rPr>
      <t>のSOLGRID MANAGERを</t>
    </r>
    <r>
      <rPr>
        <b/>
        <sz val="12"/>
        <rFont val="ＭＳ Ｐゴシック"/>
        <family val="3"/>
        <charset val="128"/>
        <scheme val="minor"/>
      </rPr>
      <t>新規導入される場合</t>
    </r>
    <r>
      <rPr>
        <b/>
        <sz val="12"/>
        <color theme="1"/>
        <rFont val="ＭＳ Ｐゴシック"/>
        <family val="3"/>
        <charset val="128"/>
        <scheme val="minor"/>
      </rPr>
      <t>　⇒　</t>
    </r>
    <r>
      <rPr>
        <b/>
        <sz val="12"/>
        <color rgb="FF0000FF"/>
        <rFont val="ＭＳ Ｐゴシック"/>
        <family val="3"/>
        <charset val="128"/>
        <scheme val="minor"/>
      </rPr>
      <t>”</t>
    </r>
    <r>
      <rPr>
        <b/>
        <u/>
        <sz val="12"/>
        <color rgb="FF0000FF"/>
        <rFont val="ＭＳ Ｐゴシック"/>
        <family val="3"/>
        <charset val="128"/>
        <scheme val="minor"/>
      </rPr>
      <t>現地初期設定</t>
    </r>
    <r>
      <rPr>
        <b/>
        <sz val="12"/>
        <color rgb="FF0000FF"/>
        <rFont val="ＭＳ Ｐゴシック"/>
        <family val="3"/>
        <charset val="128"/>
        <scheme val="minor"/>
      </rPr>
      <t>”</t>
    </r>
    <r>
      <rPr>
        <b/>
        <sz val="12"/>
        <color theme="1"/>
        <rFont val="ＭＳ Ｐゴシック"/>
        <family val="3"/>
        <charset val="128"/>
        <scheme val="minor"/>
      </rPr>
      <t>シートへお進みください。</t>
    </r>
    <rPh sb="5" eb="6">
      <t>ネン</t>
    </rPh>
    <rPh sb="16" eb="18">
      <t>モウシコ</t>
    </rPh>
    <rPh sb="19" eb="20">
      <t>ス</t>
    </rPh>
    <rPh sb="23" eb="25">
      <t>キャクサマ</t>
    </rPh>
    <rPh sb="29" eb="30">
      <t>モウ</t>
    </rPh>
    <rPh sb="31" eb="32">
      <t>コ</t>
    </rPh>
    <rPh sb="40" eb="42">
      <t>キャクサマ</t>
    </rPh>
    <rPh sb="45" eb="46">
      <t>コウ</t>
    </rPh>
    <rPh sb="85" eb="87">
      <t>ドウニュウ</t>
    </rPh>
    <rPh sb="87" eb="88">
      <t>ズ</t>
    </rPh>
    <rPh sb="90" eb="92">
      <t>バアイ</t>
    </rPh>
    <rPh sb="96" eb="98">
      <t>ショキ</t>
    </rPh>
    <rPh sb="98" eb="100">
      <t>テンケン</t>
    </rPh>
    <rPh sb="106" eb="107">
      <t>スス</t>
    </rPh>
    <rPh sb="164" eb="166">
      <t>バアイ</t>
    </rPh>
    <rPh sb="180" eb="181">
      <t>スス</t>
    </rPh>
    <rPh sb="232" eb="234">
      <t>シンキ</t>
    </rPh>
    <rPh sb="234" eb="236">
      <t>ドウニュウ</t>
    </rPh>
    <rPh sb="239" eb="241">
      <t>バアイ</t>
    </rPh>
    <rPh sb="245" eb="247">
      <t>ゲンチ</t>
    </rPh>
    <rPh sb="247" eb="249">
      <t>ショキ</t>
    </rPh>
    <rPh sb="249" eb="251">
      <t>セッテイ</t>
    </rPh>
    <rPh sb="257" eb="258">
      <t>スス</t>
    </rPh>
    <phoneticPr fontId="4"/>
  </si>
  <si>
    <r>
      <t>１０．</t>
    </r>
    <r>
      <rPr>
        <b/>
        <sz val="12"/>
        <color rgb="FF0000FF"/>
        <rFont val="ＭＳ Ｐゴシック"/>
        <family val="3"/>
        <charset val="128"/>
        <scheme val="minor"/>
      </rPr>
      <t>「初期設定サービス」</t>
    </r>
    <r>
      <rPr>
        <b/>
        <sz val="12"/>
        <color theme="1"/>
        <rFont val="ＭＳ Ｐゴシック"/>
        <family val="3"/>
        <charset val="128"/>
        <scheme val="minor"/>
      </rPr>
      <t>（有料）について　（</t>
    </r>
    <r>
      <rPr>
        <b/>
        <sz val="12"/>
        <rFont val="ＭＳ Ｐゴシック"/>
        <family val="3"/>
        <charset val="128"/>
        <scheme val="minor"/>
      </rPr>
      <t>「20年アフターパック」</t>
    </r>
    <r>
      <rPr>
        <b/>
        <sz val="12"/>
        <color theme="1"/>
        <rFont val="ＭＳ Ｐゴシック"/>
        <family val="3"/>
        <charset val="128"/>
        <scheme val="minor"/>
      </rPr>
      <t>をお申込み済みのお客様は回答不要）</t>
    </r>
    <r>
      <rPr>
        <b/>
        <sz val="11"/>
        <color theme="1"/>
        <rFont val="ＭＳ Ｐゴシック"/>
        <family val="3"/>
        <charset val="128"/>
        <scheme val="minor"/>
      </rPr>
      <t xml:space="preserve">
　　　★</t>
    </r>
    <r>
      <rPr>
        <sz val="11"/>
        <color theme="1"/>
        <rFont val="ＭＳ Ｐゴシック"/>
        <family val="3"/>
        <charset val="128"/>
        <scheme val="minor"/>
      </rPr>
      <t>当社では、パワーコンディショナ（SOLGRIDシリーズ）及び出力制御ユニット・監視装置（SOLGRID MANAGER）の初期設定サービス（有料）を行っております。</t>
    </r>
    <r>
      <rPr>
        <sz val="11"/>
        <rFont val="ＭＳ Ｐゴシック"/>
        <family val="3"/>
        <charset val="128"/>
        <scheme val="minor"/>
      </rPr>
      <t xml:space="preserve">
　　　　　初期設定サービス（有料）につきまして、①、②のいずれかへお進みください。
　　　</t>
    </r>
    <r>
      <rPr>
        <b/>
        <sz val="12"/>
        <rFont val="ＭＳ Ｐゴシック"/>
        <family val="3"/>
        <charset val="128"/>
        <scheme val="minor"/>
      </rPr>
      <t>① 初期設定サービス（有料）を</t>
    </r>
    <r>
      <rPr>
        <b/>
        <u/>
        <sz val="12"/>
        <rFont val="ＭＳ Ｐゴシック"/>
        <family val="3"/>
        <charset val="128"/>
        <scheme val="minor"/>
      </rPr>
      <t>ご注文済み</t>
    </r>
    <r>
      <rPr>
        <b/>
        <sz val="12"/>
        <rFont val="ＭＳ Ｐゴシック"/>
        <family val="3"/>
        <charset val="128"/>
        <scheme val="minor"/>
      </rPr>
      <t>のお客様</t>
    </r>
    <r>
      <rPr>
        <sz val="11"/>
        <rFont val="ＭＳ Ｐゴシック"/>
        <family val="3"/>
        <charset val="128"/>
        <scheme val="minor"/>
      </rPr>
      <t xml:space="preserve">
　　　　　⇒　下記10-1項で”注文済みです”を選択の上、”現地初期設定”シート、”遠隔初期設定”シートの該当シートへお進みください。
　　　</t>
    </r>
    <r>
      <rPr>
        <b/>
        <sz val="12"/>
        <rFont val="ＭＳ Ｐゴシック"/>
        <family val="3"/>
        <charset val="128"/>
        <scheme val="minor"/>
      </rPr>
      <t>② 初期設定サービス（有料）の</t>
    </r>
    <r>
      <rPr>
        <b/>
        <u/>
        <sz val="12"/>
        <rFont val="ＭＳ Ｐゴシック"/>
        <family val="3"/>
        <charset val="128"/>
        <scheme val="minor"/>
      </rPr>
      <t>ご注文をされていない</t>
    </r>
    <r>
      <rPr>
        <b/>
        <sz val="12"/>
        <rFont val="ＭＳ Ｐゴシック"/>
        <family val="3"/>
        <charset val="128"/>
        <scheme val="minor"/>
      </rPr>
      <t>お客様</t>
    </r>
    <r>
      <rPr>
        <sz val="11"/>
        <rFont val="ＭＳ Ｐゴシック"/>
        <family val="3"/>
        <charset val="128"/>
        <scheme val="minor"/>
      </rPr>
      <t xml:space="preserve">
　　　　　⇒　下記10-1項を選択ください。”現地（又は遠隔）初期設定サービス（有料）の見積りを依頼します”を選択の場合は、10-2項以下をご記入後、該当シートへお進みください。
　　　　　　　　</t>
    </r>
    <r>
      <rPr>
        <u/>
        <sz val="11"/>
        <color rgb="FFFF0000"/>
        <rFont val="ＭＳ Ｐゴシック"/>
        <family val="3"/>
        <charset val="128"/>
        <scheme val="minor"/>
      </rPr>
      <t>※ＬＡＮ接続方式の場合は、初期設定サービスを提供しておりませんので”不要です”を選択願います。</t>
    </r>
    <r>
      <rPr>
        <sz val="11"/>
        <rFont val="ＭＳ Ｐゴシック"/>
        <family val="3"/>
        <charset val="128"/>
        <scheme val="minor"/>
      </rPr>
      <t xml:space="preserve">
　　　　　　　　　★サービス内容をお知りになりたい場合</t>
    </r>
    <r>
      <rPr>
        <sz val="11"/>
        <color theme="1"/>
        <rFont val="ＭＳ Ｐゴシック"/>
        <family val="3"/>
        <charset val="128"/>
        <scheme val="minor"/>
      </rPr>
      <t>は下記URLをご確認ください。
　　　　　　　　　　　https://www.shindengen.co.jp/information/files/docs/IN20171016_6.pdf</t>
    </r>
    <rPh sb="14" eb="16">
      <t>ユウリョウ</t>
    </rPh>
    <rPh sb="47" eb="49">
      <t>カイトウ</t>
    </rPh>
    <rPh sb="49" eb="51">
      <t>フヨウ</t>
    </rPh>
    <rPh sb="127" eb="129">
      <t>ユウリョウ</t>
    </rPh>
    <rPh sb="145" eb="147">
      <t>ショキ</t>
    </rPh>
    <rPh sb="147" eb="149">
      <t>セッテイ</t>
    </rPh>
    <rPh sb="154" eb="156">
      <t>ユウリョウ</t>
    </rPh>
    <rPh sb="174" eb="175">
      <t>スス</t>
    </rPh>
    <rPh sb="188" eb="190">
      <t>ショキ</t>
    </rPh>
    <rPh sb="197" eb="199">
      <t>ユウリョウ</t>
    </rPh>
    <rPh sb="202" eb="204">
      <t>チュウモン</t>
    </rPh>
    <rPh sb="204" eb="205">
      <t>ス</t>
    </rPh>
    <rPh sb="218" eb="220">
      <t>カキ</t>
    </rPh>
    <rPh sb="224" eb="225">
      <t>コウ</t>
    </rPh>
    <rPh sb="227" eb="229">
      <t>チュウモン</t>
    </rPh>
    <rPh sb="235" eb="237">
      <t>センタク</t>
    </rPh>
    <rPh sb="238" eb="239">
      <t>ウエ</t>
    </rPh>
    <rPh sb="264" eb="266">
      <t>ガイトウ</t>
    </rPh>
    <rPh sb="271" eb="272">
      <t>スス</t>
    </rPh>
    <rPh sb="294" eb="296">
      <t>ユウリョウ</t>
    </rPh>
    <rPh sb="299" eb="301">
      <t>チュウモン</t>
    </rPh>
    <rPh sb="319" eb="321">
      <t>カキ</t>
    </rPh>
    <rPh sb="325" eb="326">
      <t>コウ</t>
    </rPh>
    <rPh sb="327" eb="329">
      <t>センタク</t>
    </rPh>
    <rPh sb="335" eb="337">
      <t>ゲンチ</t>
    </rPh>
    <rPh sb="338" eb="339">
      <t>マタ</t>
    </rPh>
    <rPh sb="340" eb="342">
      <t>エンカク</t>
    </rPh>
    <rPh sb="343" eb="345">
      <t>ショキ</t>
    </rPh>
    <rPh sb="345" eb="347">
      <t>セッテイ</t>
    </rPh>
    <rPh sb="352" eb="354">
      <t>ユウリョウ</t>
    </rPh>
    <rPh sb="356" eb="358">
      <t>ミツモ</t>
    </rPh>
    <rPh sb="360" eb="362">
      <t>イライ</t>
    </rPh>
    <rPh sb="367" eb="369">
      <t>センタク</t>
    </rPh>
    <rPh sb="370" eb="372">
      <t>バアイ</t>
    </rPh>
    <rPh sb="378" eb="379">
      <t>コウ</t>
    </rPh>
    <rPh sb="379" eb="381">
      <t>イカ</t>
    </rPh>
    <rPh sb="383" eb="384">
      <t>キ</t>
    </rPh>
    <rPh sb="384" eb="385">
      <t>ニュウ</t>
    </rPh>
    <rPh sb="385" eb="386">
      <t>ゴ</t>
    </rPh>
    <rPh sb="387" eb="389">
      <t>ガイトウ</t>
    </rPh>
    <rPh sb="394" eb="395">
      <t>スス</t>
    </rPh>
    <rPh sb="444" eb="446">
      <t>フヨウ</t>
    </rPh>
    <rPh sb="450" eb="452">
      <t>センタク</t>
    </rPh>
    <rPh sb="452" eb="453">
      <t>ネガ</t>
    </rPh>
    <rPh sb="472" eb="474">
      <t>ナイヨウ</t>
    </rPh>
    <rPh sb="476" eb="477">
      <t>シ</t>
    </rPh>
    <rPh sb="483" eb="485">
      <t>バアイ</t>
    </rPh>
    <rPh sb="486" eb="488">
      <t>カキ</t>
    </rPh>
    <rPh sb="493" eb="495">
      <t>カクニン</t>
    </rPh>
    <phoneticPr fontId="4"/>
  </si>
  <si>
    <t>初期設定サービス（有料）の見積りご希望の場合は必須</t>
    <rPh sb="0" eb="2">
      <t>ショキ</t>
    </rPh>
    <rPh sb="2" eb="4">
      <t>セッテイ</t>
    </rPh>
    <rPh sb="9" eb="11">
      <t>ユウリョウ</t>
    </rPh>
    <rPh sb="13" eb="15">
      <t>ミツモ</t>
    </rPh>
    <rPh sb="17" eb="19">
      <t>キボウ</t>
    </rPh>
    <rPh sb="20" eb="22">
      <t>バアイ</t>
    </rPh>
    <rPh sb="23" eb="25">
      <t>ヒッス</t>
    </rPh>
    <phoneticPr fontId="4"/>
  </si>
  <si>
    <r>
      <t>※１　クラウド区画分譲オプションサービス</t>
    </r>
    <r>
      <rPr>
        <sz val="11"/>
        <rFont val="ＭＳ Ｐゴシック"/>
        <family val="3"/>
        <charset val="128"/>
        <scheme val="minor"/>
      </rPr>
      <t xml:space="preserve">とは、
　　　同一敷地内の複数の出力制御ユニット・監視装置で監視サービスをご契約される場合に、代表の１台をクラウド監視サービス契約（統合先）とし、
　　　それ以外をクラウド区画分譲オプションサービスとしてご契約いただくことで、統合先のクラウド監視サービスをご利用になれる機能です。
　　　ご利用には下記①～③の条件が必要ですが、設備構成等により対応不可のケースがありますので、ご不明な場合は事前にご相談ください。
</t>
    </r>
    <r>
      <rPr>
        <b/>
        <sz val="11"/>
        <rFont val="ＭＳ Ｐゴシック"/>
        <family val="3"/>
        <charset val="128"/>
        <scheme val="minor"/>
      </rPr>
      <t>　　　　　①統合する発電所オーナー及び事業名称が全て同一であること。
　　　　　②統合先のクラウド監視サービス契約の電力値（***kW）が、統合後の発電所受給最大電力合計値以上であること。
　　　　　③統合する発電所が同一敷地内に設置されていること。</t>
    </r>
    <phoneticPr fontId="4"/>
  </si>
  <si>
    <t>PVS012T200B</t>
  </si>
  <si>
    <t>PVS005T200</t>
  </si>
  <si>
    <t>PVS010T200</t>
  </si>
  <si>
    <t>PVS010S200</t>
  </si>
  <si>
    <t>PVS9R9T200</t>
  </si>
  <si>
    <t>PVS9R9T200A</t>
  </si>
  <si>
    <t>PVS100T200A</t>
  </si>
  <si>
    <t>PVS010T200B</t>
  </si>
  <si>
    <t>PVS9R9S200B</t>
  </si>
  <si>
    <t>PVS100T200B</t>
  </si>
  <si>
    <t>通信ID 1　接続パネル合計枚数</t>
  </si>
  <si>
    <t>通信ID 2　接続パネル合計枚数</t>
  </si>
  <si>
    <t>通信ID 3　接続パネル合計枚数</t>
  </si>
  <si>
    <t>通信ID 4　接続パネル合計枚数</t>
  </si>
  <si>
    <t>通信ID 5　接続パネル合計枚数</t>
  </si>
  <si>
    <t>通信ID 6　接続パネル合計枚数</t>
  </si>
  <si>
    <t>通信ID 7　接続パネル合計枚数</t>
  </si>
  <si>
    <t>通信ID 8　接続パネル合計枚数</t>
  </si>
  <si>
    <t>通信ID 9　接続パネル合計枚数</t>
  </si>
  <si>
    <t>通信ID 10　接続パネル合計枚数</t>
  </si>
  <si>
    <t>通信ID 11　接続パネル合計枚数</t>
  </si>
  <si>
    <t>通信ID 12　接続パネル合計枚数</t>
  </si>
  <si>
    <t>通信ID 13　接続パネル合計枚数</t>
  </si>
  <si>
    <t>通信ID 14　接続パネル合計枚数</t>
  </si>
  <si>
    <t>通信ID 15　接続パネル合計枚数</t>
  </si>
  <si>
    <t>通信ID 16　接続パネル合計枚数</t>
  </si>
  <si>
    <t>通信ID 17　接続パネル合計枚数</t>
  </si>
  <si>
    <t>通信ID 18　接続パネル合計枚数</t>
  </si>
  <si>
    <t>通信ID 19　接続パネル合計枚数</t>
  </si>
  <si>
    <t>通信ID 20　接続パネル合計枚数</t>
  </si>
  <si>
    <t>通信ID 21　接続パネル合計枚数</t>
  </si>
  <si>
    <t>通信ID 22　接続パネル合計枚数</t>
  </si>
  <si>
    <t>通信ID 23　接続パネル合計枚数</t>
  </si>
  <si>
    <t>通信ID 24　接続パネル合計枚数</t>
  </si>
  <si>
    <t>通信ID 25　接続パネル合計枚数</t>
  </si>
  <si>
    <t>通信ID 26　接続パネル合計枚数</t>
  </si>
  <si>
    <t>通信ID 27　接続パネル合計枚数</t>
  </si>
  <si>
    <t>通信ID 28　接続パネル合計枚数</t>
  </si>
  <si>
    <t>通信ID 29　接続パネル合計枚数</t>
  </si>
  <si>
    <t>通信ID 30　接続パネル合計枚数</t>
  </si>
  <si>
    <t>必須以外の場合も、より正確な監視のために登録をお勧めします</t>
  </si>
  <si>
    <t>リストより選択</t>
    <phoneticPr fontId="4"/>
  </si>
  <si>
    <t>クラウド監視サービス 
（20年アフターパック：S-classプラン）</t>
    <phoneticPr fontId="4"/>
  </si>
  <si>
    <t>クラウド監視サービスLite 
（20年アフターパック：A-classプラン）</t>
    <phoneticPr fontId="4"/>
  </si>
  <si>
    <t>クラウド区画分譲オプションサービス 
（20年アフターパック：S-classプラン）</t>
    <phoneticPr fontId="4"/>
  </si>
  <si>
    <t>クラウド区画分譲オプションサービスLite 
（20年アフターパック：A-classプラン）</t>
    <phoneticPr fontId="4"/>
  </si>
  <si>
    <t>クラウド監視サービスLite U-150kW 
（監視代行オプション 有り）</t>
    <phoneticPr fontId="4"/>
  </si>
  <si>
    <t>クラウド監視サービスLite U-150kW</t>
    <phoneticPr fontId="4"/>
  </si>
  <si>
    <t>ローカル監視サービス 
（20年アフターパック：B-classプラン）</t>
    <phoneticPr fontId="4"/>
  </si>
  <si>
    <t>クラウド監視サービス U-50kW 
（監視代行オプション 有り）</t>
    <phoneticPr fontId="4"/>
  </si>
  <si>
    <t>クラウド監視サービス U-150kW 
（監視代行オプション 有り）</t>
    <phoneticPr fontId="4"/>
  </si>
  <si>
    <r>
      <t>２．［サービス開始スケジュール］
　　　</t>
    </r>
    <r>
      <rPr>
        <b/>
        <sz val="12"/>
        <color rgb="FFFF0000"/>
        <rFont val="ＭＳ Ｐゴシック"/>
        <family val="3"/>
        <charset val="128"/>
        <scheme val="minor"/>
      </rPr>
      <t>★</t>
    </r>
    <r>
      <rPr>
        <b/>
        <u/>
        <sz val="12"/>
        <color rgb="FFFF0000"/>
        <rFont val="ＭＳ Ｐゴシック"/>
        <family val="3"/>
        <charset val="128"/>
        <scheme val="minor"/>
      </rPr>
      <t>20年アフターパックのお客様は記入不要</t>
    </r>
    <r>
      <rPr>
        <b/>
        <sz val="12"/>
        <color rgb="FFFF0000"/>
        <rFont val="ＭＳ Ｐゴシック"/>
        <family val="3"/>
        <charset val="128"/>
        <scheme val="minor"/>
      </rPr>
      <t>です。</t>
    </r>
    <r>
      <rPr>
        <sz val="12"/>
        <color rgb="FFFF0000"/>
        <rFont val="ＭＳ Ｐゴシック"/>
        <family val="3"/>
        <charset val="128"/>
        <scheme val="minor"/>
      </rPr>
      <t xml:space="preserve">
</t>
    </r>
    <r>
      <rPr>
        <sz val="11"/>
        <rFont val="ＭＳ Ｐゴシック"/>
        <family val="3"/>
        <charset val="128"/>
        <scheme val="minor"/>
      </rPr>
      <t>　　　　　（20年アフターパックの場合、後日実施の</t>
    </r>
    <r>
      <rPr>
        <b/>
        <u/>
        <sz val="11"/>
        <rFont val="ＭＳ Ｐゴシック"/>
        <family val="3"/>
        <charset val="128"/>
        <scheme val="minor"/>
      </rPr>
      <t>初期点検日がサービス開始日</t>
    </r>
    <r>
      <rPr>
        <sz val="11"/>
        <rFont val="ＭＳ Ｐゴシック"/>
        <family val="3"/>
        <charset val="128"/>
        <scheme val="minor"/>
      </rPr>
      <t>です。SIMカードが必要な場合、初期点検実施日以前に３項のお届け先に送付致します。）</t>
    </r>
    <rPh sb="36" eb="38">
      <t>キニュウ</t>
    </rPh>
    <rPh sb="38" eb="40">
      <t>フヨウ</t>
    </rPh>
    <rPh sb="52" eb="53">
      <t>ネン</t>
    </rPh>
    <rPh sb="61" eb="63">
      <t>バアイ</t>
    </rPh>
    <rPh sb="64" eb="66">
      <t>ゴジツ</t>
    </rPh>
    <rPh sb="66" eb="68">
      <t>ジッシ</t>
    </rPh>
    <rPh sb="69" eb="71">
      <t>ショキ</t>
    </rPh>
    <rPh sb="71" eb="73">
      <t>テンケン</t>
    </rPh>
    <rPh sb="79" eb="81">
      <t>カイシ</t>
    </rPh>
    <rPh sb="81" eb="82">
      <t>ビ</t>
    </rPh>
    <rPh sb="92" eb="94">
      <t>ヒツヨウ</t>
    </rPh>
    <rPh sb="95" eb="97">
      <t>バアイ</t>
    </rPh>
    <rPh sb="98" eb="100">
      <t>ショキ</t>
    </rPh>
    <rPh sb="100" eb="102">
      <t>テンケン</t>
    </rPh>
    <rPh sb="102" eb="104">
      <t>ジッシ</t>
    </rPh>
    <rPh sb="104" eb="105">
      <t>ヒ</t>
    </rPh>
    <rPh sb="105" eb="107">
      <t>イゼン</t>
    </rPh>
    <rPh sb="109" eb="110">
      <t>コウ</t>
    </rPh>
    <rPh sb="112" eb="113">
      <t>トド</t>
    </rPh>
    <rPh sb="114" eb="115">
      <t>サキ</t>
    </rPh>
    <rPh sb="116" eb="118">
      <t>ソウフ</t>
    </rPh>
    <rPh sb="118" eb="119">
      <t>イタ</t>
    </rPh>
    <phoneticPr fontId="4"/>
  </si>
  <si>
    <t xml:space="preserve"> ← 任意項目</t>
    <rPh sb="3" eb="5">
      <t>ニンイ</t>
    </rPh>
    <rPh sb="5" eb="7">
      <t>コウモク</t>
    </rPh>
    <phoneticPr fontId="4"/>
  </si>
  <si>
    <t>任意</t>
    <rPh sb="0" eb="2">
      <t>ニンイ</t>
    </rPh>
    <phoneticPr fontId="4"/>
  </si>
  <si>
    <r>
      <t>※６　区画１から順に記入ください。
　　　　</t>
    </r>
    <r>
      <rPr>
        <b/>
        <u/>
        <sz val="11"/>
        <color rgb="FFFF0000"/>
        <rFont val="ＭＳ Ｐゴシック"/>
        <family val="3"/>
        <charset val="128"/>
        <scheme val="minor"/>
      </rPr>
      <t>★クラウド監視サービス（クラウド区画分譲オプション、Liteタイプ含む）の場合の制約条件</t>
    </r>
    <r>
      <rPr>
        <sz val="11"/>
        <color theme="1"/>
        <rFont val="ＭＳ Ｐゴシック"/>
        <family val="2"/>
        <charset val="128"/>
        <scheme val="minor"/>
      </rPr>
      <t xml:space="preserve">
　　　　　　⇒発電所１区画に登録可能なＰＣＳは９台までです。　９台を越える時は２区画以上に分割登録願います。　（９台以内でも２区画以上に分割することは可能です。）</t>
    </r>
    <rPh sb="3" eb="5">
      <t>クカク</t>
    </rPh>
    <rPh sb="8" eb="9">
      <t>ジュン</t>
    </rPh>
    <rPh sb="10" eb="12">
      <t>キニュウ</t>
    </rPh>
    <rPh sb="38" eb="40">
      <t>クカク</t>
    </rPh>
    <rPh sb="40" eb="42">
      <t>ブンジョウ</t>
    </rPh>
    <rPh sb="55" eb="56">
      <t>フク</t>
    </rPh>
    <rPh sb="62" eb="64">
      <t>セイヤク</t>
    </rPh>
    <rPh sb="64" eb="66">
      <t>ジョウケン</t>
    </rPh>
    <phoneticPr fontId="4"/>
  </si>
  <si>
    <t>設備ID 1　※７</t>
    <phoneticPr fontId="4"/>
  </si>
  <si>
    <t>50485A</t>
    <phoneticPr fontId="4"/>
  </si>
  <si>
    <t>3578585</t>
    <phoneticPr fontId="4"/>
  </si>
  <si>
    <t>0429711111</t>
    <phoneticPr fontId="4"/>
  </si>
  <si>
    <t>サイタマケンハンノウシミナミチョウ</t>
    <phoneticPr fontId="4"/>
  </si>
  <si>
    <t>埼玉県飯能市南町１０－１３</t>
    <phoneticPr fontId="4"/>
  </si>
  <si>
    <t>シンデンゲンコウギョウカブシキガイシャ　●●ジギョウブ</t>
    <phoneticPr fontId="4"/>
  </si>
  <si>
    <t>新電元工業株式会社　●●事業部</t>
    <phoneticPr fontId="4"/>
  </si>
  <si>
    <t>シンデンゲン</t>
    <phoneticPr fontId="4"/>
  </si>
  <si>
    <t>イチロウ</t>
    <phoneticPr fontId="4"/>
  </si>
  <si>
    <t>新電元</t>
    <phoneticPr fontId="4"/>
  </si>
  <si>
    <t>一郎</t>
    <phoneticPr fontId="4"/>
  </si>
  <si>
    <t>sample1@shindengen.com</t>
    <phoneticPr fontId="4"/>
  </si>
  <si>
    <t>3578585</t>
    <phoneticPr fontId="4"/>
  </si>
  <si>
    <t>0429712222</t>
    <phoneticPr fontId="4"/>
  </si>
  <si>
    <t>サイタマケンハンノウシミナミチョウ</t>
    <phoneticPr fontId="4"/>
  </si>
  <si>
    <t>埼玉県飯能市南町１０－１３</t>
    <phoneticPr fontId="4"/>
  </si>
  <si>
    <t>シンデンゲンコウギョウカブシキガイシャ　◆◆ジギョウブ</t>
    <phoneticPr fontId="4"/>
  </si>
  <si>
    <t>新電元工業株式会社　◆◆事業部</t>
    <phoneticPr fontId="4"/>
  </si>
  <si>
    <t>シンデンゲン</t>
    <phoneticPr fontId="4"/>
  </si>
  <si>
    <t>ジロウ</t>
    <phoneticPr fontId="4"/>
  </si>
  <si>
    <t>新電元</t>
    <phoneticPr fontId="4"/>
  </si>
  <si>
    <t>二郎</t>
    <phoneticPr fontId="4"/>
  </si>
  <si>
    <t>sample2@shindengen.com</t>
    <phoneticPr fontId="4"/>
  </si>
  <si>
    <t>フクオカシテン</t>
    <phoneticPr fontId="4"/>
  </si>
  <si>
    <t>福岡支店</t>
    <phoneticPr fontId="4"/>
  </si>
  <si>
    <t>0120999999</t>
    <phoneticPr fontId="4"/>
  </si>
  <si>
    <t>8888888</t>
    <phoneticPr fontId="4"/>
  </si>
  <si>
    <t>ふくおか－１</t>
    <phoneticPr fontId="4"/>
  </si>
  <si>
    <t>フクオカケンフクオカシ</t>
    <phoneticPr fontId="4"/>
  </si>
  <si>
    <t>福岡県福岡市１２３－１</t>
    <phoneticPr fontId="4"/>
  </si>
  <si>
    <t>新電元サービス株式会社</t>
    <phoneticPr fontId="4"/>
  </si>
  <si>
    <t>新電元　三郎</t>
    <phoneticPr fontId="4"/>
  </si>
  <si>
    <t>0429713333</t>
    <phoneticPr fontId="4"/>
  </si>
  <si>
    <t>sample3@shindengen.com</t>
    <phoneticPr fontId="4"/>
  </si>
  <si>
    <t>新電元工業太陽光発電</t>
    <phoneticPr fontId="4"/>
  </si>
  <si>
    <t>シンデンゲンタイヨウコウハツデン</t>
  </si>
  <si>
    <t>シンデンゲンタイヨウコウハツデン</t>
    <phoneticPr fontId="4"/>
  </si>
  <si>
    <t>新電元太陽光発電－１</t>
    <phoneticPr fontId="4"/>
  </si>
  <si>
    <t>新電元太陽光発電－２</t>
    <phoneticPr fontId="4"/>
  </si>
  <si>
    <t>新電元太陽光発電－３</t>
    <phoneticPr fontId="4"/>
  </si>
  <si>
    <t>新電元太陽光発電－４</t>
    <phoneticPr fontId="4"/>
  </si>
  <si>
    <t>新電元太陽光発電－５</t>
    <phoneticPr fontId="4"/>
  </si>
  <si>
    <t>新電元太陽光発電－６</t>
    <phoneticPr fontId="4"/>
  </si>
  <si>
    <t>新電元太陽光発電－７</t>
    <phoneticPr fontId="4"/>
  </si>
  <si>
    <t>新電元太陽光発電－８</t>
    <phoneticPr fontId="4"/>
  </si>
  <si>
    <t>新電元メンテナンス株式会社</t>
    <phoneticPr fontId="4"/>
  </si>
  <si>
    <t>新電元</t>
    <phoneticPr fontId="4"/>
  </si>
  <si>
    <t>四郎</t>
    <phoneticPr fontId="4"/>
  </si>
  <si>
    <t>0429714444</t>
    <phoneticPr fontId="4"/>
  </si>
  <si>
    <t>sample4@shindengen.com</t>
    <phoneticPr fontId="4"/>
  </si>
  <si>
    <t>3相3線</t>
  </si>
  <si>
    <t>ABCDEFG</t>
    <phoneticPr fontId="4"/>
  </si>
  <si>
    <t>ABCDEFG-1</t>
    <phoneticPr fontId="4"/>
  </si>
  <si>
    <t>デフォルト（通知する）</t>
  </si>
  <si>
    <t>任意値（右のセルに1～100の値を入力下さい） →</t>
  </si>
  <si>
    <t>デフォルト値（70）</t>
  </si>
  <si>
    <t>12345678901234567890123456</t>
    <phoneticPr fontId="4"/>
  </si>
  <si>
    <t>10</t>
  </si>
  <si>
    <t>BA-S-000001</t>
    <phoneticPr fontId="4"/>
  </si>
  <si>
    <t>BA-S-000002</t>
    <phoneticPr fontId="4"/>
  </si>
  <si>
    <t>BA-S-000003</t>
    <phoneticPr fontId="4"/>
  </si>
  <si>
    <t>BA-S-000004</t>
    <phoneticPr fontId="4"/>
  </si>
  <si>
    <t>BA-S-000005</t>
    <phoneticPr fontId="4"/>
  </si>
  <si>
    <t>BA-S-000006</t>
    <phoneticPr fontId="4"/>
  </si>
  <si>
    <t>BA-S-000007</t>
    <phoneticPr fontId="4"/>
  </si>
  <si>
    <t>BA-S-000008</t>
    <phoneticPr fontId="4"/>
  </si>
  <si>
    <t>BA-S-000009</t>
    <phoneticPr fontId="4"/>
  </si>
  <si>
    <t>BA-S-000010</t>
    <phoneticPr fontId="4"/>
  </si>
  <si>
    <t>BA-S-000011</t>
    <phoneticPr fontId="4"/>
  </si>
  <si>
    <t>BA-S-000012</t>
    <phoneticPr fontId="4"/>
  </si>
  <si>
    <t>BA-S-000013</t>
    <phoneticPr fontId="4"/>
  </si>
  <si>
    <t>BA-S-000014</t>
    <phoneticPr fontId="4"/>
  </si>
  <si>
    <t>BA-S-000015</t>
    <phoneticPr fontId="4"/>
  </si>
  <si>
    <t>BA-S-000016</t>
    <phoneticPr fontId="4"/>
  </si>
  <si>
    <t>BA-S-000017</t>
    <phoneticPr fontId="4"/>
  </si>
  <si>
    <t>BA-S-000018</t>
    <phoneticPr fontId="4"/>
  </si>
  <si>
    <t>BA-S-000019</t>
    <phoneticPr fontId="4"/>
  </si>
  <si>
    <t>BA-S-000020</t>
    <phoneticPr fontId="4"/>
  </si>
  <si>
    <t>BA-S-000021</t>
    <phoneticPr fontId="4"/>
  </si>
  <si>
    <t>BA-S-000022</t>
    <phoneticPr fontId="4"/>
  </si>
  <si>
    <t>BA-S-000023</t>
    <phoneticPr fontId="4"/>
  </si>
  <si>
    <t>BA-S-000024</t>
    <phoneticPr fontId="4"/>
  </si>
  <si>
    <t>BA-S-000025</t>
    <phoneticPr fontId="4"/>
  </si>
  <si>
    <t>BA-S-000026</t>
    <phoneticPr fontId="4"/>
  </si>
  <si>
    <t>BA-S-000027</t>
    <phoneticPr fontId="4"/>
  </si>
  <si>
    <t>BA-S-000028</t>
    <phoneticPr fontId="4"/>
  </si>
  <si>
    <t>BA-S-000029</t>
    <phoneticPr fontId="4"/>
  </si>
  <si>
    <t>BA-S-000030</t>
    <phoneticPr fontId="4"/>
  </si>
  <si>
    <t>する</t>
  </si>
  <si>
    <t>遠隔初期設定サービス（有料）の見積りを依頼します</t>
  </si>
  <si>
    <t>シンデンゲンコウギョウカブシキガイシャ　★★ジギョウブ</t>
    <phoneticPr fontId="4"/>
  </si>
  <si>
    <t>新電元工業株式会社　★★事業部</t>
    <phoneticPr fontId="4"/>
  </si>
  <si>
    <t>シンデンゲン</t>
    <phoneticPr fontId="4"/>
  </si>
  <si>
    <t>ゴロウ</t>
    <phoneticPr fontId="4"/>
  </si>
  <si>
    <t>新電元</t>
    <phoneticPr fontId="4"/>
  </si>
  <si>
    <t>五郎</t>
    <phoneticPr fontId="4"/>
  </si>
  <si>
    <t>0429715555</t>
    <phoneticPr fontId="4"/>
  </si>
  <si>
    <t>sample5@shindengen.com</t>
    <phoneticPr fontId="4"/>
  </si>
  <si>
    <t>必須</t>
    <phoneticPr fontId="4"/>
  </si>
  <si>
    <t>登録可能な文字数は全角２０文字以内</t>
    <rPh sb="0" eb="2">
      <t>トウロク</t>
    </rPh>
    <rPh sb="2" eb="4">
      <t>カノウ</t>
    </rPh>
    <rPh sb="5" eb="8">
      <t>モジスウ</t>
    </rPh>
    <rPh sb="15" eb="17">
      <t>イナイ</t>
    </rPh>
    <phoneticPr fontId="4"/>
  </si>
  <si>
    <r>
      <rPr>
        <b/>
        <sz val="12"/>
        <color theme="1"/>
        <rFont val="ＭＳ Ｐゴシック"/>
        <family val="3"/>
        <charset val="128"/>
        <scheme val="minor"/>
      </rPr>
      <t>　★本登録書に関するお問い合わせ先</t>
    </r>
    <r>
      <rPr>
        <sz val="11"/>
        <color theme="1"/>
        <rFont val="ＭＳ Ｐゴシック"/>
        <family val="2"/>
        <charset val="128"/>
        <scheme val="minor"/>
      </rPr>
      <t xml:space="preserve">
　　〒357-8585　埼玉県飯能市南町10番13号
　　　　新電元工業株式会社　パワーコンディショナお客様相談窓口
　　　　　　　　　　　　　　　　　　　　　　　　　　（監視サービス運用担当）
　　　　　・TEL：0120-055-595　　　・E-mail：pvservice@shindengen.co.jp
　　　　　　受付時間：9～12時及び13～17時　（土日祝祭日及び当社休業日を除く）</t>
    </r>
    <phoneticPr fontId="4"/>
  </si>
  <si>
    <t>PVS9R9T200C</t>
    <phoneticPr fontId="4"/>
  </si>
  <si>
    <t>PVS010T200C</t>
    <phoneticPr fontId="4"/>
  </si>
  <si>
    <t>INS-170009-8</t>
    <phoneticPr fontId="4"/>
  </si>
  <si>
    <t>PB-S-012345</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</si>
</sst>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
    <numFmt numFmtId="177" formatCode="yyyy&quot;年&quot;m&quot;月&quot;d&quot;日&quot;;@"/>
    <numFmt numFmtId="178" formatCode="yyyy&quot;年&quot;m&quot;月&quot;;@"/>
    <numFmt numFmtId="179" formatCode="0_ "/>
  </numFmts>
  <fonts count="65">
    <font>
      <sz val="11"/>
      <color theme="1"/>
      <name val="ＭＳ Ｐゴシック"/>
      <family val="2"/>
      <charset val="128"/>
      <scheme val="minor"/>
    </font>
    <font>
      <sz val="11"/>
      <color theme="1"/>
      <name val="ＭＳ Ｐゴシック"/>
      <family val="2"/>
      <charset val="128"/>
      <scheme val="minor"/>
    </font>
    <font>
      <sz val="11"/>
      <color rgb="FFFF0000"/>
      <name val="ＭＳ Ｐゴシック"/>
      <family val="2"/>
      <charset val="128"/>
      <scheme val="minor"/>
    </font>
    <font>
      <sz val="10"/>
      <name val="ＭＳ Ｐゴシック"/>
      <family val="3"/>
      <charset val="128"/>
      <scheme val="minor"/>
    </font>
    <font>
      <sz val="6"/>
      <name val="ＭＳ Ｐゴシック"/>
      <family val="2"/>
      <charset val="128"/>
      <scheme val="minor"/>
    </font>
    <font>
      <sz val="11"/>
      <color theme="1"/>
      <name val="Meiryo UI"/>
      <family val="3"/>
      <charset val="128"/>
    </font>
    <font>
      <b/>
      <sz val="16"/>
      <color theme="1"/>
      <name val="Meiryo UI"/>
      <family val="3"/>
      <charset val="128"/>
    </font>
    <font>
      <b/>
      <sz val="11"/>
      <color rgb="FF0000FF"/>
      <name val="Meiryo UI"/>
      <family val="3"/>
      <charset val="128"/>
    </font>
    <font>
      <sz val="11"/>
      <color rgb="FF000000"/>
      <name val="ＭＳ Ｐゴシック"/>
      <family val="3"/>
      <charset val="128"/>
    </font>
    <font>
      <sz val="10"/>
      <color theme="1"/>
      <name val="Meiryo UI"/>
      <family val="3"/>
      <charset val="128"/>
    </font>
    <font>
      <sz val="10"/>
      <color rgb="FFFF0000"/>
      <name val="Meiryo UI"/>
      <family val="3"/>
      <charset val="128"/>
    </font>
    <font>
      <b/>
      <sz val="11"/>
      <color rgb="FFFF0000"/>
      <name val="Meiryo UI"/>
      <family val="3"/>
      <charset val="128"/>
    </font>
    <font>
      <b/>
      <sz val="18"/>
      <color theme="1"/>
      <name val="Meiryo UI"/>
      <family val="3"/>
      <charset val="128"/>
    </font>
    <font>
      <b/>
      <u/>
      <sz val="18"/>
      <color theme="1"/>
      <name val="Meiryo UI"/>
      <family val="3"/>
      <charset val="128"/>
    </font>
    <font>
      <sz val="14"/>
      <color theme="1"/>
      <name val="Meiryo UI"/>
      <family val="3"/>
      <charset val="128"/>
    </font>
    <font>
      <sz val="11"/>
      <name val="ＭＳ Ｐゴシック"/>
      <family val="3"/>
      <charset val="128"/>
    </font>
    <font>
      <sz val="6"/>
      <name val="ＭＳ Ｐゴシック"/>
      <family val="3"/>
      <charset val="128"/>
    </font>
    <font>
      <sz val="11"/>
      <color rgb="FFFF0000"/>
      <name val="ＭＳ Ｐゴシック"/>
      <family val="3"/>
      <charset val="128"/>
    </font>
    <font>
      <sz val="10"/>
      <name val="Meiryo UI"/>
      <family val="3"/>
      <charset val="128"/>
    </font>
    <font>
      <sz val="11"/>
      <name val="ＭＳ Ｐゴシック"/>
      <family val="2"/>
      <charset val="128"/>
      <scheme val="minor"/>
    </font>
    <font>
      <sz val="11"/>
      <color theme="1"/>
      <name val="ＭＳ Ｐゴシック"/>
      <family val="3"/>
      <charset val="128"/>
    </font>
    <font>
      <b/>
      <sz val="14"/>
      <color theme="1"/>
      <name val="ＭＳ Ｐゴシック"/>
      <family val="3"/>
      <charset val="128"/>
    </font>
    <font>
      <u/>
      <sz val="11"/>
      <color theme="1"/>
      <name val="Meiryo UI"/>
      <family val="3"/>
      <charset val="128"/>
    </font>
    <font>
      <sz val="20"/>
      <color theme="1"/>
      <name val="ＭＳ Ｐゴシック"/>
      <family val="2"/>
      <charset val="128"/>
      <scheme val="minor"/>
    </font>
    <font>
      <sz val="20"/>
      <color theme="1"/>
      <name val="ＭＳ Ｐゴシック"/>
      <family val="3"/>
      <charset val="128"/>
      <scheme val="minor"/>
    </font>
    <font>
      <sz val="11"/>
      <color theme="1"/>
      <name val="ＭＳ Ｐゴシック"/>
      <family val="3"/>
      <charset val="128"/>
      <scheme val="minor"/>
    </font>
    <font>
      <b/>
      <sz val="11"/>
      <color rgb="FF0000FF"/>
      <name val="ＭＳ Ｐゴシック"/>
      <family val="3"/>
      <charset val="128"/>
      <scheme val="minor"/>
    </font>
    <font>
      <sz val="11"/>
      <name val="ＭＳ Ｐゴシック"/>
      <family val="3"/>
      <charset val="128"/>
      <scheme val="minor"/>
    </font>
    <font>
      <b/>
      <sz val="11"/>
      <color theme="1"/>
      <name val="ＭＳ Ｐゴシック"/>
      <family val="3"/>
      <charset val="128"/>
      <scheme val="minor"/>
    </font>
    <font>
      <u/>
      <sz val="11"/>
      <color rgb="FFFF0000"/>
      <name val="ＭＳ Ｐゴシック"/>
      <family val="3"/>
      <charset val="128"/>
      <scheme val="minor"/>
    </font>
    <font>
      <u/>
      <sz val="11"/>
      <name val="ＭＳ Ｐゴシック"/>
      <family val="3"/>
      <charset val="128"/>
    </font>
    <font>
      <b/>
      <sz val="12"/>
      <color theme="1"/>
      <name val="ＭＳ Ｐゴシック"/>
      <family val="3"/>
      <charset val="128"/>
      <scheme val="minor"/>
    </font>
    <font>
      <sz val="14"/>
      <color theme="1"/>
      <name val="ＭＳ Ｐゴシック"/>
      <family val="3"/>
      <charset val="128"/>
    </font>
    <font>
      <b/>
      <sz val="11"/>
      <name val="ＭＳ Ｐゴシック"/>
      <family val="3"/>
      <charset val="128"/>
      <scheme val="minor"/>
    </font>
    <font>
      <sz val="12"/>
      <color theme="1"/>
      <name val="ＭＳ Ｐゴシック"/>
      <family val="3"/>
      <charset val="128"/>
      <scheme val="minor"/>
    </font>
    <font>
      <b/>
      <u/>
      <sz val="12"/>
      <color rgb="FFFF0000"/>
      <name val="ＭＳ Ｐゴシック"/>
      <family val="3"/>
      <charset val="128"/>
      <scheme val="minor"/>
    </font>
    <font>
      <b/>
      <u/>
      <sz val="11"/>
      <color rgb="FF0000FF"/>
      <name val="ＭＳ Ｐゴシック"/>
      <family val="3"/>
      <charset val="128"/>
      <scheme val="minor"/>
    </font>
    <font>
      <b/>
      <u/>
      <sz val="11"/>
      <color rgb="FF008000"/>
      <name val="ＭＳ Ｐゴシック"/>
      <family val="3"/>
      <charset val="128"/>
      <scheme val="minor"/>
    </font>
    <font>
      <b/>
      <sz val="11"/>
      <color rgb="FF008000"/>
      <name val="ＭＳ Ｐゴシック"/>
      <family val="3"/>
      <charset val="128"/>
      <scheme val="minor"/>
    </font>
    <font>
      <b/>
      <sz val="11"/>
      <color rgb="FFFF0000"/>
      <name val="ＭＳ Ｐゴシック"/>
      <family val="3"/>
      <charset val="128"/>
      <scheme val="minor"/>
    </font>
    <font>
      <u/>
      <sz val="11"/>
      <color theme="1"/>
      <name val="ＭＳ Ｐゴシック"/>
      <family val="3"/>
      <charset val="128"/>
      <scheme val="minor"/>
    </font>
    <font>
      <u/>
      <sz val="11"/>
      <color rgb="FF0000FF"/>
      <name val="ＭＳ Ｐゴシック"/>
      <family val="3"/>
      <charset val="128"/>
      <scheme val="minor"/>
    </font>
    <font>
      <b/>
      <sz val="12"/>
      <name val="ＭＳ Ｐゴシック"/>
      <family val="3"/>
      <charset val="128"/>
      <scheme val="minor"/>
    </font>
    <font>
      <sz val="12"/>
      <color theme="1"/>
      <name val="ＭＳ Ｐゴシック"/>
      <family val="2"/>
      <charset val="128"/>
      <scheme val="minor"/>
    </font>
    <font>
      <b/>
      <sz val="14"/>
      <color theme="1"/>
      <name val="ＭＳ Ｐゴシック"/>
      <family val="3"/>
      <charset val="128"/>
      <scheme val="minor"/>
    </font>
    <font>
      <b/>
      <sz val="14"/>
      <color rgb="FF0000FF"/>
      <name val="ＭＳ Ｐゴシック"/>
      <family val="3"/>
      <charset val="128"/>
      <scheme val="minor"/>
    </font>
    <font>
      <b/>
      <u/>
      <sz val="12"/>
      <color rgb="FF0000FF"/>
      <name val="ＭＳ Ｐゴシック"/>
      <family val="3"/>
      <charset val="128"/>
      <scheme val="minor"/>
    </font>
    <font>
      <b/>
      <sz val="12"/>
      <color rgb="FF0000FF"/>
      <name val="ＭＳ Ｐゴシック"/>
      <family val="3"/>
      <charset val="128"/>
      <scheme val="minor"/>
    </font>
    <font>
      <b/>
      <u/>
      <sz val="12"/>
      <name val="ＭＳ Ｐゴシック"/>
      <family val="3"/>
      <charset val="128"/>
      <scheme val="minor"/>
    </font>
    <font>
      <b/>
      <sz val="16"/>
      <name val="ＭＳ Ｐゴシック"/>
      <family val="3"/>
      <charset val="128"/>
    </font>
    <font>
      <b/>
      <u/>
      <sz val="12"/>
      <color rgb="FF008000"/>
      <name val="ＭＳ Ｐゴシック"/>
      <family val="3"/>
      <charset val="128"/>
      <scheme val="minor"/>
    </font>
    <font>
      <b/>
      <sz val="12"/>
      <color rgb="FF008000"/>
      <name val="ＭＳ Ｐゴシック"/>
      <family val="3"/>
      <charset val="128"/>
      <scheme val="minor"/>
    </font>
    <font>
      <u/>
      <sz val="11"/>
      <color theme="1"/>
      <name val="ＭＳ Ｐゴシック"/>
      <family val="3"/>
      <charset val="128"/>
    </font>
    <font>
      <b/>
      <u/>
      <sz val="11"/>
      <name val="ＭＳ Ｐゴシック"/>
      <family val="3"/>
      <charset val="128"/>
      <scheme val="minor"/>
    </font>
    <font>
      <u/>
      <sz val="11"/>
      <name val="ＭＳ Ｐゴシック"/>
      <family val="3"/>
      <charset val="128"/>
      <scheme val="minor"/>
    </font>
    <font>
      <b/>
      <sz val="12"/>
      <color rgb="FFFF0000"/>
      <name val="ＭＳ Ｐゴシック"/>
      <family val="3"/>
      <charset val="128"/>
      <scheme val="minor"/>
    </font>
    <font>
      <sz val="12"/>
      <color rgb="FFFF0000"/>
      <name val="ＭＳ Ｐゴシック"/>
      <family val="3"/>
      <charset val="128"/>
      <scheme val="minor"/>
    </font>
    <font>
      <b/>
      <u/>
      <sz val="12"/>
      <color theme="1"/>
      <name val="ＭＳ Ｐゴシック"/>
      <family val="3"/>
      <charset val="128"/>
      <scheme val="minor"/>
    </font>
    <font>
      <sz val="11"/>
      <color rgb="FF0000FF"/>
      <name val="ＭＳ Ｐゴシック"/>
      <family val="3"/>
      <charset val="128"/>
      <scheme val="minor"/>
    </font>
    <font>
      <sz val="11"/>
      <color rgb="FFFF0000"/>
      <name val="ＭＳ Ｐゴシック"/>
      <family val="3"/>
      <charset val="128"/>
      <scheme val="minor"/>
    </font>
    <font>
      <sz val="10"/>
      <color theme="1"/>
      <name val="ＭＳ Ｐゴシック"/>
      <family val="2"/>
      <charset val="128"/>
      <scheme val="minor"/>
    </font>
    <font>
      <u/>
      <sz val="11"/>
      <color theme="10"/>
      <name val="ＭＳ Ｐゴシック"/>
      <family val="2"/>
      <charset val="128"/>
      <scheme val="minor"/>
    </font>
    <font>
      <sz val="20"/>
      <name val="ＭＳ Ｐゴシック"/>
      <family val="2"/>
      <charset val="128"/>
      <scheme val="minor"/>
    </font>
    <font>
      <sz val="12"/>
      <name val="ＭＳ Ｐゴシック"/>
      <family val="3"/>
      <charset val="128"/>
      <scheme val="minor"/>
    </font>
    <font>
      <b/>
      <u/>
      <sz val="11"/>
      <color rgb="FFFF0000"/>
      <name val="ＭＳ Ｐゴシック"/>
      <family val="3"/>
      <charset val="128"/>
      <scheme val="minor"/>
    </font>
  </fonts>
  <fills count="17">
    <fill>
      <patternFill patternType="none"/>
    </fill>
    <fill>
      <patternFill patternType="gray125"/>
    </fill>
    <fill>
      <patternFill patternType="solid">
        <fgColor theme="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0"/>
        <bgColor indexed="64"/>
      </patternFill>
    </fill>
    <fill>
      <patternFill patternType="solid">
        <fgColor rgb="FFCCFFFF"/>
        <bgColor indexed="64"/>
      </patternFill>
    </fill>
    <fill>
      <patternFill patternType="solid">
        <fgColor rgb="FFCCFF99"/>
        <bgColor indexed="64"/>
      </patternFill>
    </fill>
    <fill>
      <patternFill patternType="solid">
        <fgColor rgb="FFCCFFCC"/>
        <bgColor indexed="64"/>
      </patternFill>
    </fill>
    <fill>
      <patternFill patternType="solid">
        <fgColor rgb="FF66FF6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s>
  <borders count="17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diagonal/>
    </border>
    <border>
      <left/>
      <right style="mediumDashDot">
        <color auto="1"/>
      </right>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thin">
        <color indexed="64"/>
      </left>
      <right/>
      <top/>
      <bottom/>
      <diagonal/>
    </border>
    <border>
      <left/>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tted">
        <color theme="0" tint="-0.499984740745262"/>
      </left>
      <right/>
      <top style="dotted">
        <color theme="0" tint="-0.499984740745262"/>
      </top>
      <bottom/>
      <diagonal/>
    </border>
    <border>
      <left/>
      <right/>
      <top style="dotted">
        <color theme="0" tint="-0.499984740745262"/>
      </top>
      <bottom/>
      <diagonal/>
    </border>
    <border>
      <left/>
      <right style="dotted">
        <color theme="0" tint="-0.499984740745262"/>
      </right>
      <top style="dotted">
        <color theme="0" tint="-0.499984740745262"/>
      </top>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right/>
      <top/>
      <bottom style="dotted">
        <color theme="0" tint="-0.499984740745262"/>
      </bottom>
      <diagonal/>
    </border>
    <border>
      <left/>
      <right style="dotted">
        <color theme="0" tint="-0.499984740745262"/>
      </right>
      <top/>
      <bottom style="dotted">
        <color theme="0" tint="-0.499984740745262"/>
      </bottom>
      <diagonal/>
    </border>
    <border>
      <left style="medium">
        <color rgb="FF0000FF"/>
      </left>
      <right style="medium">
        <color rgb="FF0000FF"/>
      </right>
      <top style="medium">
        <color rgb="FF0000FF"/>
      </top>
      <bottom style="medium">
        <color rgb="FF0000FF"/>
      </bottom>
      <diagonal/>
    </border>
    <border>
      <left style="medium">
        <color rgb="FF0000FF"/>
      </left>
      <right/>
      <top style="medium">
        <color rgb="FF0000FF"/>
      </top>
      <bottom/>
      <diagonal/>
    </border>
    <border>
      <left/>
      <right style="medium">
        <color rgb="FF0000FF"/>
      </right>
      <top style="medium">
        <color rgb="FF0000FF"/>
      </top>
      <bottom/>
      <diagonal/>
    </border>
    <border>
      <left style="medium">
        <color rgb="FF0000FF"/>
      </left>
      <right/>
      <top style="hair">
        <color indexed="64"/>
      </top>
      <bottom style="medium">
        <color rgb="FF0000FF"/>
      </bottom>
      <diagonal/>
    </border>
    <border>
      <left/>
      <right style="medium">
        <color rgb="FF0000FF"/>
      </right>
      <top style="hair">
        <color indexed="64"/>
      </top>
      <bottom style="medium">
        <color rgb="FF0000FF"/>
      </bottom>
      <diagonal/>
    </border>
    <border>
      <left/>
      <right style="medium">
        <color rgb="FF0000FF"/>
      </right>
      <top style="medium">
        <color rgb="FF0000FF"/>
      </top>
      <bottom style="medium">
        <color rgb="FF0000FF"/>
      </bottom>
      <diagonal/>
    </border>
    <border>
      <left/>
      <right style="medium">
        <color rgb="FF0000FF"/>
      </right>
      <top style="hair">
        <color indexed="64"/>
      </top>
      <bottom style="hair">
        <color indexed="64"/>
      </bottom>
      <diagonal/>
    </border>
    <border>
      <left style="medium">
        <color rgb="FF0000FF"/>
      </left>
      <right/>
      <top/>
      <bottom style="hair">
        <color indexed="64"/>
      </bottom>
      <diagonal/>
    </border>
    <border>
      <left style="medium">
        <color rgb="FF0000FF"/>
      </left>
      <right/>
      <top style="medium">
        <color rgb="FF0000FF"/>
      </top>
      <bottom style="medium">
        <color rgb="FF0000FF"/>
      </bottom>
      <diagonal/>
    </border>
    <border>
      <left/>
      <right/>
      <top style="thin">
        <color indexed="64"/>
      </top>
      <bottom style="double">
        <color indexed="64"/>
      </bottom>
      <diagonal/>
    </border>
    <border>
      <left/>
      <right/>
      <top style="double">
        <color indexed="64"/>
      </top>
      <bottom style="thin">
        <color indexed="64"/>
      </bottom>
      <diagonal/>
    </border>
    <border>
      <left style="medium">
        <color rgb="FF0000FF"/>
      </left>
      <right style="medium">
        <color rgb="FF0000FF"/>
      </right>
      <top style="medium">
        <color rgb="FF0000FF"/>
      </top>
      <bottom style="thin">
        <color indexed="64"/>
      </bottom>
      <diagonal/>
    </border>
    <border>
      <left style="medium">
        <color rgb="FF0000FF"/>
      </left>
      <right style="medium">
        <color rgb="FF0000FF"/>
      </right>
      <top style="thin">
        <color indexed="64"/>
      </top>
      <bottom style="thin">
        <color indexed="64"/>
      </bottom>
      <diagonal/>
    </border>
    <border>
      <left style="medium">
        <color rgb="FF0000FF"/>
      </left>
      <right style="medium">
        <color rgb="FF0000FF"/>
      </right>
      <top style="thin">
        <color indexed="64"/>
      </top>
      <bottom/>
      <diagonal/>
    </border>
    <border>
      <left style="medium">
        <color rgb="FF0000FF"/>
      </left>
      <right style="medium">
        <color rgb="FF0000FF"/>
      </right>
      <top style="double">
        <color indexed="64"/>
      </top>
      <bottom style="thin">
        <color indexed="64"/>
      </bottom>
      <diagonal/>
    </border>
    <border>
      <left style="medium">
        <color rgb="FF0000FF"/>
      </left>
      <right style="medium">
        <color rgb="FF0000FF"/>
      </right>
      <top style="thin">
        <color indexed="64"/>
      </top>
      <bottom style="double">
        <color indexed="64"/>
      </bottom>
      <diagonal/>
    </border>
    <border>
      <left style="medium">
        <color rgb="FF0000FF"/>
      </left>
      <right style="medium">
        <color rgb="FF0000FF"/>
      </right>
      <top style="double">
        <color indexed="64"/>
      </top>
      <bottom style="medium">
        <color rgb="FF0000FF"/>
      </bottom>
      <diagonal/>
    </border>
    <border>
      <left style="medium">
        <color rgb="FF0000FF"/>
      </left>
      <right style="medium">
        <color rgb="FF0000FF"/>
      </right>
      <top style="double">
        <color indexed="64"/>
      </top>
      <bottom/>
      <diagonal/>
    </border>
    <border>
      <left style="medium">
        <color rgb="FF0000FF"/>
      </left>
      <right style="medium">
        <color rgb="FF0000FF"/>
      </right>
      <top/>
      <bottom style="thin">
        <color indexed="64"/>
      </bottom>
      <diagonal/>
    </border>
    <border>
      <left style="medium">
        <color rgb="FF0000FF"/>
      </left>
      <right style="medium">
        <color rgb="FF0000FF"/>
      </right>
      <top style="thin">
        <color indexed="64"/>
      </top>
      <bottom style="medium">
        <color rgb="FF0000FF"/>
      </bottom>
      <diagonal/>
    </border>
    <border>
      <left/>
      <right/>
      <top style="medium">
        <color rgb="FF0000FF"/>
      </top>
      <bottom style="medium">
        <color rgb="FF0000FF"/>
      </bottom>
      <diagonal/>
    </border>
    <border>
      <left style="medium">
        <color rgb="FF0000FF"/>
      </left>
      <right style="thin">
        <color indexed="64"/>
      </right>
      <top style="medium">
        <color rgb="FF0000FF"/>
      </top>
      <bottom style="thin">
        <color indexed="64"/>
      </bottom>
      <diagonal/>
    </border>
    <border>
      <left style="thin">
        <color indexed="64"/>
      </left>
      <right style="thin">
        <color indexed="64"/>
      </right>
      <top style="medium">
        <color rgb="FF0000FF"/>
      </top>
      <bottom style="thin">
        <color indexed="64"/>
      </bottom>
      <diagonal/>
    </border>
    <border>
      <left style="thin">
        <color indexed="64"/>
      </left>
      <right style="medium">
        <color rgb="FF0000FF"/>
      </right>
      <top style="medium">
        <color rgb="FF0000FF"/>
      </top>
      <bottom style="thin">
        <color indexed="64"/>
      </bottom>
      <diagonal/>
    </border>
    <border>
      <left style="medium">
        <color rgb="FF0000FF"/>
      </left>
      <right style="thin">
        <color indexed="64"/>
      </right>
      <top style="thin">
        <color indexed="64"/>
      </top>
      <bottom style="thin">
        <color indexed="64"/>
      </bottom>
      <diagonal/>
    </border>
    <border>
      <left style="thin">
        <color indexed="64"/>
      </left>
      <right style="medium">
        <color rgb="FF0000FF"/>
      </right>
      <top style="thin">
        <color indexed="64"/>
      </top>
      <bottom style="thin">
        <color indexed="64"/>
      </bottom>
      <diagonal/>
    </border>
    <border>
      <left style="medium">
        <color rgb="FF0000FF"/>
      </left>
      <right style="thin">
        <color indexed="64"/>
      </right>
      <top style="thin">
        <color indexed="64"/>
      </top>
      <bottom/>
      <diagonal/>
    </border>
    <border>
      <left style="thin">
        <color indexed="64"/>
      </left>
      <right style="medium">
        <color rgb="FF0000FF"/>
      </right>
      <top style="thin">
        <color indexed="64"/>
      </top>
      <bottom/>
      <diagonal/>
    </border>
    <border>
      <left style="medium">
        <color rgb="FF0000FF"/>
      </left>
      <right style="thin">
        <color indexed="64"/>
      </right>
      <top style="double">
        <color indexed="64"/>
      </top>
      <bottom/>
      <diagonal/>
    </border>
    <border>
      <left style="thin">
        <color indexed="64"/>
      </left>
      <right style="medium">
        <color rgb="FF0000FF"/>
      </right>
      <top style="double">
        <color indexed="64"/>
      </top>
      <bottom/>
      <diagonal/>
    </border>
    <border>
      <left style="medium">
        <color rgb="FF0000FF"/>
      </left>
      <right style="thin">
        <color indexed="64"/>
      </right>
      <top/>
      <bottom style="double">
        <color indexed="64"/>
      </bottom>
      <diagonal/>
    </border>
    <border>
      <left style="thin">
        <color indexed="64"/>
      </left>
      <right style="medium">
        <color rgb="FF0000FF"/>
      </right>
      <top/>
      <bottom style="double">
        <color indexed="64"/>
      </bottom>
      <diagonal/>
    </border>
    <border>
      <left style="medium">
        <color rgb="FF0000FF"/>
      </left>
      <right style="thin">
        <color indexed="64"/>
      </right>
      <top style="thin">
        <color indexed="64"/>
      </top>
      <bottom style="double">
        <color indexed="64"/>
      </bottom>
      <diagonal/>
    </border>
    <border>
      <left style="thin">
        <color indexed="64"/>
      </left>
      <right style="medium">
        <color rgb="FF0000FF"/>
      </right>
      <top style="thin">
        <color indexed="64"/>
      </top>
      <bottom style="double">
        <color indexed="64"/>
      </bottom>
      <diagonal/>
    </border>
    <border>
      <left style="medium">
        <color rgb="FF0000FF"/>
      </left>
      <right style="thin">
        <color indexed="64"/>
      </right>
      <top style="double">
        <color indexed="64"/>
      </top>
      <bottom style="thin">
        <color indexed="64"/>
      </bottom>
      <diagonal/>
    </border>
    <border>
      <left style="thin">
        <color indexed="64"/>
      </left>
      <right style="medium">
        <color rgb="FF0000FF"/>
      </right>
      <top style="double">
        <color indexed="64"/>
      </top>
      <bottom style="thin">
        <color indexed="64"/>
      </bottom>
      <diagonal/>
    </border>
    <border>
      <left style="medium">
        <color rgb="FF0000FF"/>
      </left>
      <right style="thin">
        <color indexed="64"/>
      </right>
      <top/>
      <bottom/>
      <diagonal/>
    </border>
    <border>
      <left style="thin">
        <color indexed="64"/>
      </left>
      <right style="medium">
        <color rgb="FF0000FF"/>
      </right>
      <top/>
      <bottom/>
      <diagonal/>
    </border>
    <border>
      <left style="medium">
        <color rgb="FF0000FF"/>
      </left>
      <right style="thin">
        <color indexed="64"/>
      </right>
      <top/>
      <bottom style="thin">
        <color indexed="64"/>
      </bottom>
      <diagonal/>
    </border>
    <border>
      <left style="thin">
        <color indexed="64"/>
      </left>
      <right style="medium">
        <color rgb="FF0000FF"/>
      </right>
      <top/>
      <bottom style="thin">
        <color indexed="64"/>
      </bottom>
      <diagonal/>
    </border>
    <border>
      <left style="medium">
        <color rgb="FF0000FF"/>
      </left>
      <right style="thin">
        <color indexed="64"/>
      </right>
      <top style="thin">
        <color indexed="64"/>
      </top>
      <bottom style="medium">
        <color rgb="FF0000FF"/>
      </bottom>
      <diagonal/>
    </border>
    <border>
      <left style="thin">
        <color indexed="64"/>
      </left>
      <right style="thin">
        <color indexed="64"/>
      </right>
      <top style="thin">
        <color indexed="64"/>
      </top>
      <bottom style="medium">
        <color rgb="FF0000FF"/>
      </bottom>
      <diagonal/>
    </border>
    <border>
      <left style="thin">
        <color indexed="64"/>
      </left>
      <right style="medium">
        <color rgb="FF0000FF"/>
      </right>
      <top style="thin">
        <color indexed="64"/>
      </top>
      <bottom style="medium">
        <color rgb="FF0000FF"/>
      </bottom>
      <diagonal/>
    </border>
    <border>
      <left style="medium">
        <color rgb="FF0000FF"/>
      </left>
      <right/>
      <top style="medium">
        <color rgb="FF0000FF"/>
      </top>
      <bottom style="thin">
        <color indexed="64"/>
      </bottom>
      <diagonal/>
    </border>
    <border>
      <left/>
      <right/>
      <top style="medium">
        <color rgb="FF0000FF"/>
      </top>
      <bottom style="thin">
        <color indexed="64"/>
      </bottom>
      <diagonal/>
    </border>
    <border>
      <left/>
      <right style="medium">
        <color rgb="FF0000FF"/>
      </right>
      <top style="medium">
        <color rgb="FF0000FF"/>
      </top>
      <bottom style="thin">
        <color indexed="64"/>
      </bottom>
      <diagonal/>
    </border>
    <border>
      <left style="medium">
        <color rgb="FF0000FF"/>
      </left>
      <right/>
      <top style="thin">
        <color indexed="64"/>
      </top>
      <bottom style="thin">
        <color indexed="64"/>
      </bottom>
      <diagonal/>
    </border>
    <border>
      <left/>
      <right style="medium">
        <color rgb="FF0000FF"/>
      </right>
      <top style="thin">
        <color indexed="64"/>
      </top>
      <bottom style="thin">
        <color indexed="64"/>
      </bottom>
      <diagonal/>
    </border>
    <border>
      <left style="medium">
        <color rgb="FF0000FF"/>
      </left>
      <right/>
      <top style="thin">
        <color indexed="64"/>
      </top>
      <bottom style="medium">
        <color rgb="FF0000FF"/>
      </bottom>
      <diagonal/>
    </border>
    <border>
      <left/>
      <right/>
      <top style="thin">
        <color indexed="64"/>
      </top>
      <bottom style="medium">
        <color rgb="FF0000FF"/>
      </bottom>
      <diagonal/>
    </border>
    <border>
      <left/>
      <right style="medium">
        <color rgb="FF0000FF"/>
      </right>
      <top style="thin">
        <color indexed="64"/>
      </top>
      <bottom style="medium">
        <color rgb="FF0000FF"/>
      </bottom>
      <diagonal/>
    </border>
    <border>
      <left/>
      <right style="thin">
        <color indexed="64"/>
      </right>
      <top style="medium">
        <color rgb="FF0000FF"/>
      </top>
      <bottom style="thin">
        <color indexed="64"/>
      </bottom>
      <diagonal/>
    </border>
    <border>
      <left style="thin">
        <color indexed="64"/>
      </left>
      <right/>
      <top style="medium">
        <color rgb="FF0000FF"/>
      </top>
      <bottom style="thin">
        <color indexed="64"/>
      </bottom>
      <diagonal/>
    </border>
    <border>
      <left/>
      <right style="thin">
        <color indexed="64"/>
      </right>
      <top style="thin">
        <color indexed="64"/>
      </top>
      <bottom style="medium">
        <color rgb="FF0000FF"/>
      </bottom>
      <diagonal/>
    </border>
    <border>
      <left style="thin">
        <color indexed="64"/>
      </left>
      <right/>
      <top style="thin">
        <color indexed="64"/>
      </top>
      <bottom style="medium">
        <color rgb="FF0000FF"/>
      </bottom>
      <diagonal/>
    </border>
    <border>
      <left/>
      <right style="thin">
        <color indexed="64"/>
      </right>
      <top/>
      <bottom style="hair">
        <color indexed="64"/>
      </bottom>
      <diagonal/>
    </border>
    <border>
      <left style="hair">
        <color auto="1"/>
      </left>
      <right style="medium">
        <color rgb="FF0000FF"/>
      </right>
      <top style="hair">
        <color indexed="64"/>
      </top>
      <bottom style="hair">
        <color indexed="64"/>
      </bottom>
      <diagonal/>
    </border>
    <border>
      <left style="hair">
        <color auto="1"/>
      </left>
      <right style="medium">
        <color rgb="FF0000FF"/>
      </right>
      <top style="hair">
        <color indexed="64"/>
      </top>
      <bottom style="thin">
        <color indexed="64"/>
      </bottom>
      <diagonal/>
    </border>
    <border>
      <left/>
      <right style="hair">
        <color auto="1"/>
      </right>
      <top style="thin">
        <color auto="1"/>
      </top>
      <bottom/>
      <diagonal/>
    </border>
    <border>
      <left/>
      <right style="hair">
        <color auto="1"/>
      </right>
      <top style="hair">
        <color indexed="64"/>
      </top>
      <bottom style="hair">
        <color indexed="64"/>
      </bottom>
      <diagonal/>
    </border>
    <border>
      <left/>
      <right style="hair">
        <color auto="1"/>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medium">
        <color rgb="FF0000FF"/>
      </left>
      <right/>
      <top style="hair">
        <color indexed="64"/>
      </top>
      <bottom style="hair">
        <color indexed="64"/>
      </bottom>
      <diagonal/>
    </border>
    <border diagonalUp="1">
      <left style="thin">
        <color auto="1"/>
      </left>
      <right style="thin">
        <color auto="1"/>
      </right>
      <top style="thin">
        <color auto="1"/>
      </top>
      <bottom style="thin">
        <color auto="1"/>
      </bottom>
      <diagonal style="thin">
        <color auto="1"/>
      </diagonal>
    </border>
    <border>
      <left style="medium">
        <color rgb="FF0000FF"/>
      </left>
      <right/>
      <top style="thin">
        <color auto="1"/>
      </top>
      <bottom style="hair">
        <color auto="1"/>
      </bottom>
      <diagonal/>
    </border>
    <border>
      <left style="medium">
        <color rgb="FF0000FF"/>
      </left>
      <right/>
      <top style="hair">
        <color auto="1"/>
      </top>
      <bottom/>
      <diagonal/>
    </border>
    <border>
      <left/>
      <right style="hair">
        <color indexed="64"/>
      </right>
      <top style="thin">
        <color indexed="64"/>
      </top>
      <bottom style="thin">
        <color indexed="64"/>
      </bottom>
      <diagonal/>
    </border>
    <border>
      <left style="medium">
        <color rgb="FF0000FF"/>
      </left>
      <right/>
      <top style="hair">
        <color auto="1"/>
      </top>
      <bottom style="thin">
        <color auto="1"/>
      </bottom>
      <diagonal/>
    </border>
    <border>
      <left/>
      <right style="hair">
        <color auto="1"/>
      </right>
      <top style="hair">
        <color indexed="64"/>
      </top>
      <bottom/>
      <diagonal/>
    </border>
    <border>
      <left/>
      <right style="hair">
        <color auto="1"/>
      </right>
      <top/>
      <bottom style="hair">
        <color indexed="64"/>
      </bottom>
      <diagonal/>
    </border>
    <border>
      <left style="medium">
        <color rgb="FF0000FF"/>
      </left>
      <right/>
      <top style="thin">
        <color indexed="64"/>
      </top>
      <bottom/>
      <diagonal/>
    </border>
    <border>
      <left style="medium">
        <color rgb="FF0000FF"/>
      </left>
      <right/>
      <top style="double">
        <color indexed="64"/>
      </top>
      <bottom style="medium">
        <color rgb="FF0000FF"/>
      </bottom>
      <diagonal/>
    </border>
    <border>
      <left/>
      <right/>
      <top style="double">
        <color indexed="64"/>
      </top>
      <bottom style="medium">
        <color rgb="FF0000FF"/>
      </bottom>
      <diagonal/>
    </border>
    <border>
      <left/>
      <right style="medium">
        <color rgb="FF0000FF"/>
      </right>
      <top style="double">
        <color indexed="64"/>
      </top>
      <bottom style="medium">
        <color rgb="FF0000FF"/>
      </bottom>
      <diagonal/>
    </border>
    <border>
      <left style="medium">
        <color rgb="FF0000FF"/>
      </left>
      <right/>
      <top style="double">
        <color indexed="64"/>
      </top>
      <bottom style="thin">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medium">
        <color rgb="FF0000FF"/>
      </left>
      <right/>
      <top/>
      <bottom/>
      <diagonal/>
    </border>
    <border>
      <left style="medium">
        <color rgb="FF0000FF"/>
      </left>
      <right/>
      <top/>
      <bottom style="thin">
        <color indexed="64"/>
      </bottom>
      <diagonal/>
    </border>
    <border>
      <left style="medium">
        <color rgb="FF0000FF"/>
      </left>
      <right style="medium">
        <color rgb="FF0000FF"/>
      </right>
      <top/>
      <bottom/>
      <diagonal/>
    </border>
    <border>
      <left style="medium">
        <color rgb="FF0000FF"/>
      </left>
      <right/>
      <top style="double">
        <color indexed="64"/>
      </top>
      <bottom/>
      <diagonal/>
    </border>
    <border>
      <left style="medium">
        <color rgb="FF0000FF"/>
      </left>
      <right/>
      <top/>
      <bottom style="double">
        <color indexed="64"/>
      </bottom>
      <diagonal/>
    </border>
    <border>
      <left style="medium">
        <color rgb="FF0000FF"/>
      </left>
      <right/>
      <top style="medium">
        <color rgb="FF0000FF"/>
      </top>
      <bottom style="hair">
        <color indexed="64"/>
      </bottom>
      <diagonal/>
    </border>
    <border>
      <left/>
      <right style="medium">
        <color rgb="FF0000FF"/>
      </right>
      <top style="medium">
        <color rgb="FF0000FF"/>
      </top>
      <bottom style="hair">
        <color indexed="64"/>
      </bottom>
      <diagonal/>
    </border>
    <border>
      <left/>
      <right style="medium">
        <color rgb="FF0000FF"/>
      </right>
      <top/>
      <bottom style="hair">
        <color indexed="64"/>
      </bottom>
      <diagonal/>
    </border>
    <border>
      <left/>
      <right style="medium">
        <color rgb="FF0000FF"/>
      </right>
      <top style="hair">
        <color indexed="64"/>
      </top>
      <bottom/>
      <diagonal/>
    </border>
    <border>
      <left style="thin">
        <color indexed="64"/>
      </left>
      <right style="medium">
        <color rgb="FF0000FF"/>
      </right>
      <top style="hair">
        <color indexed="64"/>
      </top>
      <bottom style="hair">
        <color indexed="64"/>
      </bottom>
      <diagonal/>
    </border>
    <border>
      <left style="hair">
        <color auto="1"/>
      </left>
      <right style="thin">
        <color indexed="64"/>
      </right>
      <top/>
      <bottom/>
      <diagonal/>
    </border>
    <border>
      <left/>
      <right/>
      <top style="medium">
        <color rgb="FF0000FF"/>
      </top>
      <bottom/>
      <diagonal/>
    </border>
    <border>
      <left/>
      <right/>
      <top/>
      <bottom style="hair">
        <color indexed="64"/>
      </bottom>
      <diagonal/>
    </border>
    <border>
      <left/>
      <right/>
      <top style="hair">
        <color auto="1"/>
      </top>
      <bottom/>
      <diagonal/>
    </border>
    <border>
      <left/>
      <right/>
      <top style="hair">
        <color indexed="64"/>
      </top>
      <bottom style="medium">
        <color rgb="FF0000FF"/>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medium">
        <color rgb="FF0000FF"/>
      </top>
      <bottom style="hair">
        <color indexed="64"/>
      </bottom>
      <diagonal/>
    </border>
    <border>
      <left style="medium">
        <color rgb="FF0000FF"/>
      </left>
      <right style="thin">
        <color auto="1"/>
      </right>
      <top style="hair">
        <color indexed="64"/>
      </top>
      <bottom style="hair">
        <color indexed="64"/>
      </bottom>
      <diagonal/>
    </border>
    <border>
      <left/>
      <right style="medium">
        <color rgb="FF0000FF"/>
      </right>
      <top style="hair">
        <color indexed="64"/>
      </top>
      <bottom style="thin">
        <color indexed="64"/>
      </bottom>
      <diagonal/>
    </border>
    <border>
      <left/>
      <right style="medium">
        <color rgb="FF0000FF"/>
      </right>
      <top style="thin">
        <color indexed="64"/>
      </top>
      <bottom style="hair">
        <color indexed="64"/>
      </bottom>
      <diagonal/>
    </border>
    <border>
      <left/>
      <right style="medium">
        <color rgb="FF0000FF"/>
      </right>
      <top style="thin">
        <color indexed="64"/>
      </top>
      <bottom/>
      <diagonal/>
    </border>
    <border>
      <left style="thin">
        <color indexed="64"/>
      </left>
      <right style="medium">
        <color rgb="FF0000FF"/>
      </right>
      <top style="hair">
        <color indexed="64"/>
      </top>
      <bottom style="thin">
        <color indexed="64"/>
      </bottom>
      <diagonal/>
    </border>
    <border>
      <left style="hair">
        <color auto="1"/>
      </left>
      <right style="thin">
        <color indexed="64"/>
      </right>
      <top style="thin">
        <color indexed="64"/>
      </top>
      <bottom/>
      <diagonal/>
    </border>
    <border>
      <left style="hair">
        <color auto="1"/>
      </left>
      <right style="thin">
        <color indexed="64"/>
      </right>
      <top/>
      <bottom style="thin">
        <color indexed="64"/>
      </bottom>
      <diagonal/>
    </border>
  </borders>
  <cellStyleXfs count="3">
    <xf numFmtId="0" fontId="0" fillId="0" borderId="0">
      <alignment vertical="center"/>
    </xf>
    <xf numFmtId="0" fontId="15" fillId="0" borderId="0">
      <alignment vertical="center"/>
    </xf>
    <xf numFmtId="0" fontId="61" fillId="0" borderId="0" applyNumberFormat="0" applyFill="0" applyBorder="0" applyAlignment="0" applyProtection="0">
      <alignment vertical="center"/>
    </xf>
  </cellStyleXfs>
  <cellXfs count="744">
    <xf numFmtId="0" fontId="0" fillId="0" borderId="0" xfId="0">
      <alignment vertical="center"/>
    </xf>
    <xf numFmtId="0" fontId="25" fillId="0" borderId="4" xfId="0" applyFont="1" applyFill="1" applyBorder="1" applyAlignment="1">
      <alignment vertical="top"/>
    </xf>
    <xf numFmtId="0" fontId="5" fillId="0" borderId="0" xfId="0" applyFont="1" applyProtection="1">
      <alignment vertical="center"/>
    </xf>
    <xf numFmtId="0" fontId="0" fillId="0" borderId="0" xfId="0" applyProtection="1">
      <alignment vertical="center"/>
    </xf>
    <xf numFmtId="0" fontId="6" fillId="2" borderId="1" xfId="0" applyFont="1" applyFill="1" applyBorder="1" applyAlignment="1" applyProtection="1">
      <alignment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5" fillId="0" borderId="0" xfId="0" applyFont="1" applyAlignment="1" applyProtection="1">
      <alignment horizontal="right" vertical="center"/>
    </xf>
    <xf numFmtId="0" fontId="0" fillId="0" borderId="0" xfId="0" applyAlignment="1" applyProtection="1">
      <alignment horizontal="right" vertical="center"/>
    </xf>
    <xf numFmtId="0" fontId="9" fillId="3" borderId="1" xfId="0" applyFont="1" applyFill="1" applyBorder="1" applyProtection="1">
      <alignment vertical="center"/>
    </xf>
    <xf numFmtId="0" fontId="5" fillId="3" borderId="2" xfId="0" applyFont="1" applyFill="1" applyBorder="1" applyProtection="1">
      <alignment vertical="center"/>
    </xf>
    <xf numFmtId="0" fontId="5" fillId="3" borderId="3" xfId="0" applyFont="1" applyFill="1" applyBorder="1" applyProtection="1">
      <alignment vertical="center"/>
    </xf>
    <xf numFmtId="0" fontId="0" fillId="4" borderId="4" xfId="0" applyFill="1" applyBorder="1" applyProtection="1">
      <alignment vertical="center"/>
    </xf>
    <xf numFmtId="0" fontId="5" fillId="4" borderId="4"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0" fontId="9" fillId="4" borderId="4" xfId="0" applyFont="1" applyFill="1" applyBorder="1" applyAlignment="1" applyProtection="1">
      <alignment vertical="center" shrinkToFit="1"/>
    </xf>
    <xf numFmtId="0" fontId="9" fillId="4" borderId="1" xfId="0" applyFont="1" applyFill="1" applyBorder="1" applyAlignment="1" applyProtection="1">
      <alignment horizontal="center" vertical="center" shrinkToFit="1"/>
    </xf>
    <xf numFmtId="0" fontId="9" fillId="4" borderId="5" xfId="0" applyFont="1" applyFill="1" applyBorder="1" applyAlignment="1" applyProtection="1">
      <alignment vertical="center" shrinkToFit="1"/>
    </xf>
    <xf numFmtId="0" fontId="9" fillId="4" borderId="7" xfId="0" applyFont="1" applyFill="1" applyBorder="1" applyAlignment="1" applyProtection="1">
      <alignment horizontal="center" vertical="center" shrinkToFit="1"/>
    </xf>
    <xf numFmtId="0" fontId="9" fillId="4" borderId="10" xfId="0" applyFont="1" applyFill="1" applyBorder="1" applyAlignment="1" applyProtection="1">
      <alignment vertical="center" shrinkToFit="1"/>
    </xf>
    <xf numFmtId="0" fontId="9" fillId="4" borderId="11" xfId="0" applyFont="1" applyFill="1" applyBorder="1" applyAlignment="1" applyProtection="1">
      <alignment horizontal="center" vertical="center" shrinkToFit="1"/>
    </xf>
    <xf numFmtId="0" fontId="9" fillId="4" borderId="14" xfId="0" applyFont="1" applyFill="1" applyBorder="1" applyAlignment="1" applyProtection="1">
      <alignment vertical="center" shrinkToFit="1"/>
    </xf>
    <xf numFmtId="0" fontId="9" fillId="4" borderId="15" xfId="0" applyFont="1" applyFill="1" applyBorder="1" applyAlignment="1" applyProtection="1">
      <alignment horizontal="center" vertical="center" shrinkToFit="1"/>
    </xf>
    <xf numFmtId="0" fontId="9" fillId="4" borderId="10" xfId="0" applyFont="1" applyFill="1" applyBorder="1" applyAlignment="1" applyProtection="1">
      <alignment vertical="top" shrinkToFit="1"/>
    </xf>
    <xf numFmtId="0" fontId="9" fillId="4" borderId="11" xfId="0" applyFont="1" applyFill="1" applyBorder="1" applyAlignment="1" applyProtection="1">
      <alignment horizontal="center" vertical="top" shrinkToFit="1"/>
    </xf>
    <xf numFmtId="0" fontId="9" fillId="4" borderId="14" xfId="0" applyFont="1" applyFill="1" applyBorder="1" applyAlignment="1" applyProtection="1">
      <alignment vertical="top" shrinkToFit="1"/>
    </xf>
    <xf numFmtId="0" fontId="9" fillId="4" borderId="15" xfId="0" applyFont="1" applyFill="1" applyBorder="1" applyAlignment="1" applyProtection="1">
      <alignment horizontal="center" vertical="top" shrinkToFit="1"/>
    </xf>
    <xf numFmtId="0" fontId="9" fillId="4" borderId="9" xfId="0" applyFont="1" applyFill="1" applyBorder="1" applyAlignment="1" applyProtection="1">
      <alignment vertical="center" shrinkToFit="1"/>
    </xf>
    <xf numFmtId="0" fontId="9" fillId="4" borderId="16" xfId="0" applyFont="1" applyFill="1" applyBorder="1" applyAlignment="1" applyProtection="1">
      <alignment horizontal="center" vertical="center" shrinkToFit="1"/>
    </xf>
    <xf numFmtId="0" fontId="9" fillId="4" borderId="18" xfId="0" applyFont="1" applyFill="1" applyBorder="1" applyAlignment="1" applyProtection="1">
      <alignment vertical="center" shrinkToFit="1"/>
    </xf>
    <xf numFmtId="0" fontId="9" fillId="4" borderId="19" xfId="0" applyFont="1" applyFill="1" applyBorder="1" applyAlignment="1" applyProtection="1">
      <alignment horizontal="center" vertical="center" shrinkToFit="1"/>
    </xf>
    <xf numFmtId="0" fontId="9" fillId="4" borderId="18" xfId="0" applyFont="1" applyFill="1" applyBorder="1" applyAlignment="1" applyProtection="1">
      <alignment horizontal="center" vertical="center"/>
    </xf>
    <xf numFmtId="0" fontId="9" fillId="4" borderId="4" xfId="0" applyFont="1" applyFill="1" applyBorder="1" applyAlignment="1" applyProtection="1">
      <alignment horizontal="center" vertical="center"/>
    </xf>
    <xf numFmtId="0" fontId="15" fillId="0" borderId="0" xfId="1" applyProtection="1">
      <alignment vertical="center"/>
    </xf>
    <xf numFmtId="0" fontId="17" fillId="0" borderId="0" xfId="1" applyFont="1" applyBorder="1" applyProtection="1">
      <alignment vertical="center"/>
    </xf>
    <xf numFmtId="0" fontId="17" fillId="0" borderId="0" xfId="1" applyFont="1" applyAlignment="1" applyProtection="1">
      <alignment horizontal="right" vertical="center"/>
    </xf>
    <xf numFmtId="0" fontId="15" fillId="0" borderId="0" xfId="1" applyFont="1" applyAlignment="1" applyProtection="1">
      <alignment horizontal="right" vertical="center"/>
    </xf>
    <xf numFmtId="0" fontId="15" fillId="0" borderId="0" xfId="1" applyFont="1" applyFill="1" applyBorder="1" applyAlignment="1" applyProtection="1">
      <alignment vertical="center"/>
    </xf>
    <xf numFmtId="0" fontId="15" fillId="0" borderId="0" xfId="1" applyAlignment="1" applyProtection="1">
      <alignment vertical="center" wrapText="1"/>
    </xf>
    <xf numFmtId="0" fontId="15" fillId="0" borderId="0" xfId="1" applyAlignment="1" applyProtection="1">
      <alignment vertical="top" wrapText="1"/>
    </xf>
    <xf numFmtId="0" fontId="15" fillId="0" borderId="0" xfId="1" applyAlignment="1" applyProtection="1">
      <alignment horizontal="left" vertical="top" wrapText="1"/>
    </xf>
    <xf numFmtId="0" fontId="9" fillId="3" borderId="2" xfId="0" applyFont="1" applyFill="1" applyBorder="1" applyProtection="1">
      <alignment vertical="center"/>
    </xf>
    <xf numFmtId="0" fontId="0" fillId="4" borderId="6" xfId="0" applyFill="1" applyBorder="1" applyProtection="1">
      <alignment vertical="center"/>
    </xf>
    <xf numFmtId="0" fontId="0" fillId="0" borderId="0" xfId="0" applyAlignment="1" applyProtection="1">
      <alignment vertical="center"/>
    </xf>
    <xf numFmtId="0" fontId="0" fillId="0" borderId="0" xfId="0" applyFill="1" applyBorder="1" applyProtection="1">
      <alignment vertical="center"/>
    </xf>
    <xf numFmtId="0" fontId="24" fillId="0" borderId="0" xfId="0" applyFont="1" applyProtection="1">
      <alignment vertical="center"/>
    </xf>
    <xf numFmtId="0" fontId="31" fillId="0" borderId="0" xfId="0" applyFont="1" applyAlignment="1" applyProtection="1">
      <alignment vertical="center"/>
    </xf>
    <xf numFmtId="0" fontId="31" fillId="0" borderId="0" xfId="0" applyFont="1" applyAlignment="1" applyProtection="1">
      <alignment horizontal="center" vertical="center"/>
    </xf>
    <xf numFmtId="0" fontId="0" fillId="0" borderId="0" xfId="0" applyFill="1" applyBorder="1" applyAlignment="1" applyProtection="1">
      <alignment vertical="center" wrapText="1"/>
    </xf>
    <xf numFmtId="49" fontId="0" fillId="4" borderId="5" xfId="0" applyNumberFormat="1" applyFill="1" applyBorder="1" applyAlignment="1" applyProtection="1">
      <alignment horizontal="right" vertical="center"/>
    </xf>
    <xf numFmtId="0" fontId="0" fillId="4" borderId="7" xfId="0" applyFill="1" applyBorder="1" applyAlignment="1" applyProtection="1">
      <alignment vertical="center" wrapText="1"/>
    </xf>
    <xf numFmtId="0" fontId="0" fillId="4" borderId="22" xfId="0" applyFill="1" applyBorder="1" applyProtection="1">
      <alignment vertical="center"/>
    </xf>
    <xf numFmtId="49" fontId="0" fillId="4" borderId="46" xfId="0" applyNumberFormat="1" applyFill="1" applyBorder="1" applyAlignment="1" applyProtection="1">
      <alignment horizontal="right" vertical="center"/>
    </xf>
    <xf numFmtId="0" fontId="0" fillId="4" borderId="47" xfId="0" applyFill="1" applyBorder="1" applyAlignment="1" applyProtection="1">
      <alignment vertical="center" wrapText="1"/>
    </xf>
    <xf numFmtId="0" fontId="25" fillId="4" borderId="48" xfId="0" applyFont="1" applyFill="1" applyBorder="1" applyAlignment="1" applyProtection="1">
      <alignment vertical="center" wrapText="1"/>
    </xf>
    <xf numFmtId="0" fontId="0" fillId="0" borderId="0" xfId="0" applyAlignment="1" applyProtection="1">
      <alignment vertical="top" wrapText="1"/>
    </xf>
    <xf numFmtId="0" fontId="0" fillId="4" borderId="48" xfId="0" applyFill="1" applyBorder="1" applyProtection="1">
      <alignment vertical="center"/>
    </xf>
    <xf numFmtId="49" fontId="0" fillId="4" borderId="18" xfId="0" applyNumberFormat="1" applyFill="1" applyBorder="1" applyAlignment="1" applyProtection="1">
      <alignment horizontal="right" vertical="center"/>
    </xf>
    <xf numFmtId="0" fontId="0" fillId="4" borderId="22" xfId="0" applyFill="1" applyBorder="1" applyAlignment="1" applyProtection="1">
      <alignment vertical="center" wrapText="1"/>
    </xf>
    <xf numFmtId="0" fontId="0" fillId="4" borderId="19" xfId="0" applyFill="1" applyBorder="1" applyAlignment="1" applyProtection="1">
      <alignment vertical="center" wrapText="1"/>
    </xf>
    <xf numFmtId="0" fontId="0" fillId="4" borderId="20" xfId="0" applyFill="1" applyBorder="1" applyProtection="1">
      <alignment vertical="center"/>
    </xf>
    <xf numFmtId="0" fontId="31" fillId="0" borderId="0" xfId="0" applyFont="1" applyProtection="1">
      <alignment vertical="center"/>
    </xf>
    <xf numFmtId="0" fontId="0" fillId="4" borderId="48" xfId="0" applyFill="1" applyBorder="1" applyAlignment="1" applyProtection="1">
      <alignment vertical="center"/>
    </xf>
    <xf numFmtId="0" fontId="0" fillId="4" borderId="48" xfId="0" applyFill="1" applyBorder="1" applyAlignment="1" applyProtection="1">
      <alignment vertical="center" shrinkToFit="1"/>
    </xf>
    <xf numFmtId="0" fontId="0" fillId="4" borderId="53" xfId="0" applyFill="1" applyBorder="1" applyAlignment="1" applyProtection="1">
      <alignment vertical="center" wrapText="1"/>
    </xf>
    <xf numFmtId="0" fontId="0" fillId="4" borderId="58" xfId="0" applyFill="1" applyBorder="1" applyAlignment="1" applyProtection="1">
      <alignment vertical="center" wrapText="1"/>
    </xf>
    <xf numFmtId="0" fontId="0" fillId="4" borderId="50" xfId="0" applyFill="1" applyBorder="1" applyAlignment="1" applyProtection="1">
      <alignment vertical="center" wrapText="1"/>
    </xf>
    <xf numFmtId="0" fontId="0" fillId="4" borderId="56" xfId="0" applyFill="1" applyBorder="1" applyAlignment="1" applyProtection="1">
      <alignment vertical="center" wrapText="1"/>
    </xf>
    <xf numFmtId="0" fontId="0" fillId="4" borderId="48" xfId="0" applyFill="1" applyBorder="1" applyAlignment="1" applyProtection="1">
      <alignment vertical="center" wrapText="1"/>
    </xf>
    <xf numFmtId="49" fontId="0" fillId="4" borderId="52" xfId="0" applyNumberFormat="1" applyFill="1" applyBorder="1" applyAlignment="1" applyProtection="1">
      <alignment horizontal="right" vertical="center"/>
    </xf>
    <xf numFmtId="49" fontId="0" fillId="4" borderId="57" xfId="0" applyNumberFormat="1" applyFill="1" applyBorder="1" applyAlignment="1" applyProtection="1">
      <alignment horizontal="right" vertical="center"/>
    </xf>
    <xf numFmtId="49" fontId="0" fillId="4" borderId="49" xfId="0" applyNumberFormat="1" applyFill="1" applyBorder="1" applyAlignment="1" applyProtection="1">
      <alignment horizontal="right" vertical="center"/>
    </xf>
    <xf numFmtId="49" fontId="0" fillId="4" borderId="55" xfId="0" applyNumberFormat="1" applyFill="1" applyBorder="1" applyAlignment="1" applyProtection="1">
      <alignment horizontal="right" vertical="center"/>
    </xf>
    <xf numFmtId="0" fontId="0" fillId="0" borderId="4" xfId="0" applyBorder="1" applyAlignment="1" applyProtection="1">
      <alignment vertical="center"/>
    </xf>
    <xf numFmtId="49" fontId="0" fillId="4" borderId="6" xfId="0" applyNumberFormat="1" applyFill="1" applyBorder="1" applyAlignment="1" applyProtection="1">
      <alignment horizontal="right" vertical="center"/>
    </xf>
    <xf numFmtId="0" fontId="0" fillId="4" borderId="33" xfId="0" applyFill="1" applyBorder="1" applyAlignment="1" applyProtection="1">
      <alignment vertical="center" wrapText="1"/>
    </xf>
    <xf numFmtId="0" fontId="31" fillId="4" borderId="1" xfId="0" applyFont="1" applyFill="1" applyBorder="1" applyAlignment="1" applyProtection="1">
      <alignment horizontal="center" vertical="center"/>
    </xf>
    <xf numFmtId="0" fontId="31" fillId="4" borderId="3" xfId="0" applyFont="1" applyFill="1" applyBorder="1" applyAlignment="1" applyProtection="1">
      <alignment horizontal="center" vertical="center"/>
    </xf>
    <xf numFmtId="0" fontId="0" fillId="4" borderId="51" xfId="0" applyFill="1" applyBorder="1" applyProtection="1">
      <alignment vertical="center"/>
    </xf>
    <xf numFmtId="0" fontId="0" fillId="4" borderId="23" xfId="0" applyFill="1" applyBorder="1" applyAlignment="1" applyProtection="1">
      <alignment vertical="center"/>
    </xf>
    <xf numFmtId="0" fontId="0" fillId="4" borderId="123" xfId="0" applyFill="1" applyBorder="1" applyAlignment="1" applyProtection="1">
      <alignment vertical="center" shrinkToFit="1"/>
    </xf>
    <xf numFmtId="0" fontId="0" fillId="0" borderId="0" xfId="0" applyNumberFormat="1">
      <alignment vertical="center"/>
    </xf>
    <xf numFmtId="0" fontId="0" fillId="0" borderId="0" xfId="0" applyAlignment="1">
      <alignment horizontal="center" vertical="center"/>
    </xf>
    <xf numFmtId="0" fontId="0" fillId="5" borderId="0" xfId="0" applyFill="1">
      <alignment vertical="center"/>
    </xf>
    <xf numFmtId="0" fontId="25" fillId="0" borderId="0" xfId="0" applyFont="1" applyFill="1">
      <alignment vertical="center"/>
    </xf>
    <xf numFmtId="0" fontId="25" fillId="0" borderId="0" xfId="0" applyFont="1" applyFill="1" applyAlignment="1">
      <alignment vertical="center"/>
    </xf>
    <xf numFmtId="0" fontId="25" fillId="0" borderId="4" xfId="0" applyFont="1" applyFill="1" applyBorder="1" applyAlignment="1">
      <alignment vertical="top" wrapText="1"/>
    </xf>
    <xf numFmtId="49" fontId="25" fillId="0" borderId="4" xfId="0" applyNumberFormat="1" applyFont="1" applyFill="1" applyBorder="1" applyAlignment="1">
      <alignment horizontal="right" vertical="center"/>
    </xf>
    <xf numFmtId="0" fontId="25" fillId="0" borderId="4" xfId="0" applyFont="1" applyFill="1" applyBorder="1" applyAlignment="1">
      <alignment vertical="center" wrapText="1"/>
    </xf>
    <xf numFmtId="0" fontId="25" fillId="0" borderId="4" xfId="0" applyFont="1" applyFill="1" applyBorder="1" applyAlignment="1">
      <alignment horizontal="center" vertical="center"/>
    </xf>
    <xf numFmtId="0" fontId="24" fillId="0" borderId="0" xfId="0" applyFont="1" applyAlignment="1" applyProtection="1">
      <alignment horizontal="center" vertical="center"/>
    </xf>
    <xf numFmtId="0" fontId="0" fillId="4" borderId="129" xfId="0" applyFill="1" applyBorder="1" applyAlignment="1" applyProtection="1">
      <alignment horizontal="center" vertical="center"/>
    </xf>
    <xf numFmtId="0" fontId="0" fillId="4" borderId="127" xfId="0" applyFill="1" applyBorder="1" applyAlignment="1" applyProtection="1">
      <alignment horizontal="center" vertical="center"/>
    </xf>
    <xf numFmtId="0" fontId="0" fillId="4" borderId="130" xfId="0" applyFill="1" applyBorder="1" applyAlignment="1" applyProtection="1">
      <alignment horizontal="center" vertical="center"/>
    </xf>
    <xf numFmtId="0" fontId="0" fillId="4" borderId="126" xfId="0" applyFill="1" applyBorder="1" applyAlignment="1" applyProtection="1">
      <alignment horizontal="center" vertical="center"/>
    </xf>
    <xf numFmtId="0" fontId="25" fillId="0" borderId="0" xfId="0" applyNumberFormat="1" applyFont="1" applyFill="1">
      <alignment vertical="center"/>
    </xf>
    <xf numFmtId="0" fontId="25" fillId="9" borderId="4" xfId="0" applyNumberFormat="1" applyFont="1" applyFill="1" applyBorder="1">
      <alignment vertical="center"/>
    </xf>
    <xf numFmtId="0" fontId="25" fillId="0" borderId="132" xfId="0" applyFont="1" applyFill="1" applyBorder="1">
      <alignment vertical="center"/>
    </xf>
    <xf numFmtId="0" fontId="25" fillId="10" borderId="4" xfId="0" applyNumberFormat="1" applyFont="1" applyFill="1" applyBorder="1">
      <alignment vertical="center"/>
    </xf>
    <xf numFmtId="0" fontId="25" fillId="0" borderId="4" xfId="0" applyFont="1" applyFill="1" applyBorder="1" applyAlignment="1">
      <alignment horizontal="center" vertical="center" wrapText="1"/>
    </xf>
    <xf numFmtId="0" fontId="0" fillId="4" borderId="47" xfId="0" applyFill="1" applyBorder="1" applyAlignment="1" applyProtection="1">
      <alignment vertical="center" shrinkToFit="1"/>
    </xf>
    <xf numFmtId="0" fontId="19" fillId="4" borderId="47" xfId="0" applyFont="1" applyFill="1" applyBorder="1" applyAlignment="1" applyProtection="1">
      <alignment vertical="center" wrapText="1"/>
    </xf>
    <xf numFmtId="0" fontId="0" fillId="0" borderId="0" xfId="0" applyFill="1" applyProtection="1">
      <alignment vertical="center"/>
    </xf>
    <xf numFmtId="0" fontId="0" fillId="4" borderId="128" xfId="0" applyFill="1" applyBorder="1" applyAlignment="1" applyProtection="1">
      <alignment horizontal="center" vertical="center"/>
    </xf>
    <xf numFmtId="0" fontId="0" fillId="4" borderId="137" xfId="0" applyFill="1" applyBorder="1" applyAlignment="1" applyProtection="1">
      <alignment horizontal="center" vertical="center"/>
    </xf>
    <xf numFmtId="0" fontId="0" fillId="4" borderId="138" xfId="0" applyFill="1" applyBorder="1" applyAlignment="1" applyProtection="1">
      <alignment horizontal="center" vertical="center"/>
    </xf>
    <xf numFmtId="0" fontId="0" fillId="0" borderId="0" xfId="0" applyFill="1" applyBorder="1" applyAlignment="1" applyProtection="1">
      <alignment vertical="center" shrinkToFit="1"/>
    </xf>
    <xf numFmtId="0" fontId="31" fillId="4" borderId="4" xfId="0" applyFont="1" applyFill="1" applyBorder="1" applyAlignment="1" applyProtection="1">
      <alignment horizontal="center" vertical="center"/>
    </xf>
    <xf numFmtId="49" fontId="0" fillId="8" borderId="4" xfId="0" applyNumberFormat="1" applyFill="1" applyBorder="1" applyAlignment="1" applyProtection="1">
      <alignment horizontal="center" vertical="center"/>
    </xf>
    <xf numFmtId="0" fontId="0" fillId="0" borderId="0" xfId="0" applyFont="1" applyAlignment="1" applyProtection="1">
      <alignment vertical="center"/>
    </xf>
    <xf numFmtId="0" fontId="0" fillId="4" borderId="22" xfId="0" applyFill="1" applyBorder="1" applyAlignment="1" applyProtection="1">
      <alignment vertical="center" shrinkToFit="1"/>
    </xf>
    <xf numFmtId="0" fontId="0" fillId="4" borderId="23" xfId="0" applyFill="1" applyBorder="1" applyAlignment="1" applyProtection="1">
      <alignment vertical="center" shrinkToFit="1"/>
    </xf>
    <xf numFmtId="0" fontId="0" fillId="4" borderId="54" xfId="0" applyFill="1" applyBorder="1" applyAlignment="1" applyProtection="1">
      <alignment vertical="center" shrinkToFit="1"/>
    </xf>
    <xf numFmtId="0" fontId="0" fillId="4" borderId="59" xfId="0" applyFill="1" applyBorder="1" applyAlignment="1" applyProtection="1">
      <alignment vertical="center" shrinkToFit="1"/>
    </xf>
    <xf numFmtId="0" fontId="0" fillId="4" borderId="51" xfId="0" applyFill="1" applyBorder="1" applyAlignment="1" applyProtection="1">
      <alignment vertical="center" shrinkToFit="1"/>
    </xf>
    <xf numFmtId="0" fontId="0" fillId="4" borderId="20" xfId="0" applyFill="1" applyBorder="1" applyAlignment="1" applyProtection="1">
      <alignment vertical="center" shrinkToFit="1"/>
    </xf>
    <xf numFmtId="0" fontId="25" fillId="0" borderId="4" xfId="0" applyFont="1" applyFill="1" applyBorder="1" applyAlignment="1">
      <alignment horizontal="right" vertical="top"/>
    </xf>
    <xf numFmtId="0" fontId="25" fillId="5" borderId="4" xfId="0" applyFont="1" applyFill="1" applyBorder="1" applyAlignment="1">
      <alignment horizontal="center" vertical="center" wrapText="1"/>
    </xf>
    <xf numFmtId="0" fontId="25" fillId="0" borderId="4" xfId="0" applyFont="1" applyFill="1" applyBorder="1" applyAlignment="1">
      <alignment horizontal="right" vertical="center" wrapText="1"/>
    </xf>
    <xf numFmtId="0" fontId="25" fillId="0" borderId="4" xfId="0" applyNumberFormat="1" applyFont="1" applyFill="1" applyBorder="1" applyAlignment="1">
      <alignment vertical="center" wrapText="1"/>
    </xf>
    <xf numFmtId="0" fontId="5" fillId="11" borderId="68" xfId="0" applyFont="1" applyFill="1" applyBorder="1" applyProtection="1">
      <alignment vertical="center"/>
      <protection locked="0"/>
    </xf>
    <xf numFmtId="0" fontId="5" fillId="11" borderId="79" xfId="0" applyFont="1" applyFill="1" applyBorder="1" applyProtection="1">
      <alignment vertical="center"/>
      <protection locked="0"/>
    </xf>
    <xf numFmtId="0" fontId="5" fillId="11" borderId="80" xfId="0" applyFont="1" applyFill="1" applyBorder="1" applyProtection="1">
      <alignment vertical="center"/>
      <protection locked="0"/>
    </xf>
    <xf numFmtId="0" fontId="5" fillId="11" borderId="81" xfId="0" applyFont="1" applyFill="1" applyBorder="1" applyProtection="1">
      <alignment vertical="center"/>
      <protection locked="0"/>
    </xf>
    <xf numFmtId="0" fontId="5" fillId="11" borderId="82" xfId="0" applyFont="1" applyFill="1" applyBorder="1" applyProtection="1">
      <alignment vertical="center"/>
      <protection locked="0"/>
    </xf>
    <xf numFmtId="0" fontId="5" fillId="11" borderId="83" xfId="0" applyFont="1" applyFill="1" applyBorder="1" applyProtection="1">
      <alignment vertical="center"/>
      <protection locked="0"/>
    </xf>
    <xf numFmtId="0" fontId="5" fillId="11" borderId="85" xfId="0" applyFont="1" applyFill="1" applyBorder="1" applyProtection="1">
      <alignment vertical="center"/>
      <protection locked="0"/>
    </xf>
    <xf numFmtId="0" fontId="5" fillId="11" borderId="86" xfId="0" applyFont="1" applyFill="1" applyBorder="1" applyProtection="1">
      <alignment vertical="center"/>
      <protection locked="0"/>
    </xf>
    <xf numFmtId="0" fontId="5" fillId="11" borderId="87" xfId="0" applyFont="1" applyFill="1" applyBorder="1" applyProtection="1">
      <alignment vertical="center"/>
      <protection locked="0"/>
    </xf>
    <xf numFmtId="0" fontId="0" fillId="11" borderId="90" xfId="0" applyFill="1" applyBorder="1" applyAlignment="1" applyProtection="1">
      <alignment horizontal="center" vertical="center"/>
    </xf>
    <xf numFmtId="0" fontId="0" fillId="11" borderId="4" xfId="0" applyFill="1" applyBorder="1" applyAlignment="1" applyProtection="1">
      <alignment horizontal="center" vertical="center"/>
    </xf>
    <xf numFmtId="0" fontId="0" fillId="11" borderId="109" xfId="0" applyFill="1" applyBorder="1" applyAlignment="1" applyProtection="1">
      <alignment horizontal="center" vertical="center"/>
    </xf>
    <xf numFmtId="0" fontId="5" fillId="11" borderId="84" xfId="0" applyFont="1" applyFill="1" applyBorder="1" applyAlignment="1" applyProtection="1">
      <alignment horizontal="right" wrapText="1"/>
      <protection locked="0"/>
    </xf>
    <xf numFmtId="0" fontId="25" fillId="13" borderId="4" xfId="0" applyFont="1" applyFill="1" applyBorder="1" applyAlignment="1">
      <alignment vertical="center" wrapText="1"/>
    </xf>
    <xf numFmtId="0" fontId="25" fillId="13" borderId="4" xfId="0" applyFont="1" applyFill="1" applyBorder="1" applyAlignment="1">
      <alignment horizontal="center" vertical="center" wrapText="1"/>
    </xf>
    <xf numFmtId="0" fontId="25" fillId="14" borderId="4" xfId="0" applyNumberFormat="1" applyFont="1" applyFill="1" applyBorder="1" applyAlignment="1">
      <alignment horizontal="center" vertical="center" wrapText="1"/>
    </xf>
    <xf numFmtId="0" fontId="25" fillId="15" borderId="4" xfId="0" applyNumberFormat="1" applyFont="1" applyFill="1" applyBorder="1" applyAlignment="1">
      <alignment horizontal="center" vertical="center" wrapText="1"/>
    </xf>
    <xf numFmtId="0" fontId="25" fillId="16" borderId="4" xfId="0" applyNumberFormat="1" applyFont="1" applyFill="1" applyBorder="1" applyAlignment="1">
      <alignment horizontal="center" vertical="center" wrapText="1"/>
    </xf>
    <xf numFmtId="0" fontId="25" fillId="16" borderId="4" xfId="0" applyNumberFormat="1" applyFont="1" applyFill="1" applyBorder="1">
      <alignment vertical="center"/>
    </xf>
    <xf numFmtId="0" fontId="25" fillId="13" borderId="4" xfId="0" applyFont="1" applyFill="1" applyBorder="1" applyAlignment="1">
      <alignment horizontal="right" vertical="center" wrapText="1"/>
    </xf>
    <xf numFmtId="0" fontId="25" fillId="13" borderId="4" xfId="0" applyFont="1" applyFill="1" applyBorder="1" applyAlignment="1">
      <alignment vertical="top"/>
    </xf>
    <xf numFmtId="0" fontId="25" fillId="14" borderId="4" xfId="0" applyNumberFormat="1" applyFont="1" applyFill="1" applyBorder="1">
      <alignment vertical="center"/>
    </xf>
    <xf numFmtId="0" fontId="25" fillId="14" borderId="4" xfId="0" applyNumberFormat="1" applyFont="1" applyFill="1" applyBorder="1" applyProtection="1">
      <alignment vertical="center"/>
    </xf>
    <xf numFmtId="0" fontId="25" fillId="14" borderId="4" xfId="0" applyNumberFormat="1" applyFont="1" applyFill="1" applyBorder="1" applyAlignment="1" applyProtection="1">
      <alignment horizontal="center" vertical="center"/>
    </xf>
    <xf numFmtId="0" fontId="25" fillId="15" borderId="4" xfId="0" applyNumberFormat="1" applyFont="1" applyFill="1" applyBorder="1">
      <alignment vertical="center"/>
    </xf>
    <xf numFmtId="0" fontId="25" fillId="15" borderId="4" xfId="0" applyNumberFormat="1" applyFont="1" applyFill="1" applyBorder="1" applyProtection="1">
      <alignment vertical="center"/>
    </xf>
    <xf numFmtId="0" fontId="25" fillId="15" borderId="4" xfId="0" applyNumberFormat="1" applyFont="1" applyFill="1" applyBorder="1" applyAlignment="1" applyProtection="1">
      <alignment horizontal="center" vertical="center"/>
    </xf>
    <xf numFmtId="0" fontId="25" fillId="16" borderId="4" xfId="0" applyNumberFormat="1" applyFont="1" applyFill="1" applyBorder="1" applyProtection="1">
      <alignment vertical="center"/>
    </xf>
    <xf numFmtId="0" fontId="25" fillId="16" borderId="4" xfId="0" applyNumberFormat="1" applyFont="1" applyFill="1" applyBorder="1" applyAlignment="1" applyProtection="1">
      <alignment horizontal="center" vertical="center"/>
    </xf>
    <xf numFmtId="0" fontId="27" fillId="0" borderId="0" xfId="0" applyFont="1" applyAlignment="1" applyProtection="1">
      <alignment horizontal="right" vertical="center"/>
    </xf>
    <xf numFmtId="0" fontId="5" fillId="0" borderId="0" xfId="0" applyFont="1" applyAlignment="1" applyProtection="1">
      <alignment vertical="center"/>
    </xf>
    <xf numFmtId="0" fontId="5" fillId="4" borderId="4"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49" fontId="25" fillId="0" borderId="4" xfId="0" applyNumberFormat="1" applyFont="1" applyFill="1" applyBorder="1" applyAlignment="1">
      <alignment vertical="center"/>
    </xf>
    <xf numFmtId="0" fontId="5" fillId="4" borderId="4" xfId="0" applyFont="1" applyFill="1" applyBorder="1" applyAlignment="1" applyProtection="1">
      <alignment horizontal="center" vertical="center"/>
    </xf>
    <xf numFmtId="0" fontId="9" fillId="4" borderId="19"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9" fillId="4" borderId="6" xfId="0" applyFont="1" applyFill="1" applyBorder="1" applyAlignment="1" applyProtection="1">
      <alignment vertical="top" shrinkToFit="1"/>
    </xf>
    <xf numFmtId="0" fontId="9" fillId="4" borderId="6" xfId="0" applyFont="1" applyFill="1" applyBorder="1" applyAlignment="1" applyProtection="1">
      <alignment vertical="center" shrinkToFit="1"/>
    </xf>
    <xf numFmtId="0" fontId="9" fillId="4" borderId="33" xfId="0" applyFont="1" applyFill="1" applyBorder="1" applyAlignment="1" applyProtection="1">
      <alignment horizontal="center" vertical="center" shrinkToFit="1"/>
    </xf>
    <xf numFmtId="0" fontId="5" fillId="11" borderId="154" xfId="0" applyFont="1" applyFill="1" applyBorder="1" applyProtection="1">
      <alignment vertical="center"/>
      <protection locked="0"/>
    </xf>
    <xf numFmtId="0" fontId="5" fillId="0" borderId="0" xfId="0" applyFont="1" applyFill="1" applyBorder="1" applyAlignment="1" applyProtection="1">
      <alignment vertical="center" shrinkToFit="1"/>
    </xf>
    <xf numFmtId="0" fontId="5"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0" xfId="0" applyBorder="1" applyProtection="1">
      <alignment vertical="center"/>
    </xf>
    <xf numFmtId="0" fontId="19" fillId="0" borderId="0" xfId="0" applyFont="1" applyAlignment="1" applyProtection="1">
      <alignment vertical="center"/>
    </xf>
    <xf numFmtId="0" fontId="25" fillId="0" borderId="4" xfId="0" applyNumberFormat="1" applyFont="1" applyFill="1" applyBorder="1" applyProtection="1">
      <alignment vertical="center"/>
    </xf>
    <xf numFmtId="0" fontId="25" fillId="0" borderId="4" xfId="0" applyNumberFormat="1" applyFont="1" applyFill="1" applyBorder="1">
      <alignment vertical="center"/>
    </xf>
    <xf numFmtId="0" fontId="0" fillId="4" borderId="47" xfId="0" applyFont="1" applyFill="1" applyBorder="1" applyAlignment="1" applyProtection="1">
      <alignment vertical="center" wrapText="1"/>
    </xf>
    <xf numFmtId="0" fontId="0" fillId="0" borderId="0" xfId="0" applyAlignment="1" applyProtection="1">
      <alignment vertical="center" wrapText="1"/>
    </xf>
    <xf numFmtId="0" fontId="58" fillId="0" borderId="4" xfId="0" applyFont="1" applyFill="1" applyBorder="1" applyAlignment="1">
      <alignment horizontal="center" vertical="center" wrapText="1"/>
    </xf>
    <xf numFmtId="0" fontId="0" fillId="0" borderId="5" xfId="0" applyBorder="1">
      <alignment vertical="center"/>
    </xf>
    <xf numFmtId="0" fontId="0" fillId="0" borderId="18" xfId="0" applyBorder="1">
      <alignment vertical="center"/>
    </xf>
    <xf numFmtId="0" fontId="0" fillId="0" borderId="18" xfId="0" applyBorder="1" applyAlignment="1">
      <alignment vertical="center" wrapText="1"/>
    </xf>
    <xf numFmtId="0" fontId="0" fillId="0" borderId="6" xfId="0" applyBorder="1">
      <alignment vertical="center"/>
    </xf>
    <xf numFmtId="0" fontId="0" fillId="0" borderId="6" xfId="0" applyBorder="1" applyAlignment="1">
      <alignment vertical="center" wrapText="1"/>
    </xf>
    <xf numFmtId="0" fontId="0" fillId="0" borderId="5" xfId="0" applyBorder="1" applyAlignment="1">
      <alignment vertical="center" wrapText="1"/>
    </xf>
    <xf numFmtId="0" fontId="0" fillId="4" borderId="161" xfId="0" applyFill="1" applyBorder="1" applyAlignment="1" applyProtection="1">
      <alignment vertical="center" shrinkToFit="1"/>
    </xf>
    <xf numFmtId="0" fontId="0" fillId="4" borderId="33" xfId="0" applyFill="1" applyBorder="1" applyAlignment="1" applyProtection="1">
      <alignment vertical="center" shrinkToFit="1"/>
    </xf>
    <xf numFmtId="0" fontId="0" fillId="4" borderId="50" xfId="0" applyFill="1" applyBorder="1" applyAlignment="1" applyProtection="1">
      <alignment vertical="center" shrinkToFit="1"/>
    </xf>
    <xf numFmtId="0" fontId="27" fillId="4" borderId="48" xfId="0" applyFont="1" applyFill="1" applyBorder="1" applyAlignment="1" applyProtection="1">
      <alignment vertical="center"/>
    </xf>
    <xf numFmtId="0" fontId="5" fillId="4" borderId="4"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0" fontId="0" fillId="11" borderId="79" xfId="0" applyFill="1" applyBorder="1" applyAlignment="1" applyProtection="1">
      <alignment vertical="center" shrinkToFit="1"/>
      <protection locked="0"/>
    </xf>
    <xf numFmtId="0" fontId="0" fillId="11" borderId="87" xfId="0" applyFill="1" applyBorder="1" applyAlignment="1" applyProtection="1">
      <alignment vertical="center" shrinkToFit="1"/>
      <protection locked="0"/>
    </xf>
    <xf numFmtId="0" fontId="9" fillId="0" borderId="0" xfId="0" applyFont="1" applyProtection="1">
      <alignment vertical="center"/>
    </xf>
    <xf numFmtId="0" fontId="25" fillId="0" borderId="0" xfId="0" applyFont="1" applyFill="1" applyBorder="1" applyAlignment="1" applyProtection="1">
      <alignment vertical="center"/>
    </xf>
    <xf numFmtId="0" fontId="43" fillId="0" borderId="0" xfId="0" applyFont="1" applyBorder="1" applyAlignment="1" applyProtection="1">
      <alignment vertical="center" wrapText="1"/>
    </xf>
    <xf numFmtId="0" fontId="0" fillId="0" borderId="0" xfId="0" applyBorder="1" applyAlignment="1" applyProtection="1">
      <alignment vertical="center"/>
    </xf>
    <xf numFmtId="0" fontId="0" fillId="0" borderId="0" xfId="0" applyBorder="1" applyAlignment="1" applyProtection="1">
      <alignment horizontal="left" vertical="center"/>
    </xf>
    <xf numFmtId="0" fontId="0" fillId="0" borderId="0" xfId="0" applyFont="1" applyBorder="1" applyAlignment="1" applyProtection="1">
      <alignment horizontal="left" vertical="center" wrapText="1"/>
    </xf>
    <xf numFmtId="0" fontId="0" fillId="0" borderId="0" xfId="0" applyNumberFormat="1" applyFont="1" applyBorder="1" applyAlignment="1" applyProtection="1">
      <alignment horizontal="left" vertical="center" wrapText="1"/>
    </xf>
    <xf numFmtId="0" fontId="25" fillId="0" borderId="0" xfId="0" applyFont="1" applyFill="1" applyBorder="1" applyAlignment="1" applyProtection="1">
      <alignment horizontal="center" vertical="center" wrapText="1"/>
    </xf>
    <xf numFmtId="0" fontId="0" fillId="4" borderId="46" xfId="0" applyNumberFormat="1" applyFill="1" applyBorder="1" applyAlignment="1" applyProtection="1">
      <alignment horizontal="right" vertical="center"/>
    </xf>
    <xf numFmtId="0" fontId="0" fillId="4" borderId="55" xfId="0" applyNumberFormat="1" applyFill="1" applyBorder="1" applyAlignment="1" applyProtection="1">
      <alignment horizontal="right" vertical="center"/>
    </xf>
    <xf numFmtId="0" fontId="0" fillId="4" borderId="49" xfId="0" applyNumberFormat="1" applyFill="1" applyBorder="1" applyAlignment="1" applyProtection="1">
      <alignment horizontal="right" vertical="center"/>
    </xf>
    <xf numFmtId="0" fontId="19" fillId="4" borderId="48" xfId="0" applyFont="1" applyFill="1" applyBorder="1" applyAlignment="1" applyProtection="1">
      <alignment vertical="center" shrinkToFit="1"/>
    </xf>
    <xf numFmtId="0" fontId="27" fillId="4" borderId="48" xfId="0" applyFont="1" applyFill="1" applyBorder="1" applyAlignment="1" applyProtection="1">
      <alignment vertical="center" shrinkToFit="1"/>
    </xf>
    <xf numFmtId="0" fontId="0" fillId="4" borderId="175" xfId="0" applyFill="1" applyBorder="1" applyAlignment="1" applyProtection="1">
      <alignment vertical="center" shrinkToFit="1"/>
    </xf>
    <xf numFmtId="0" fontId="27" fillId="4" borderId="51" xfId="0" applyFont="1" applyFill="1" applyBorder="1" applyAlignment="1" applyProtection="1">
      <alignment vertical="center" shrinkToFit="1"/>
    </xf>
    <xf numFmtId="0" fontId="27" fillId="4" borderId="59" xfId="0" applyFont="1" applyFill="1" applyBorder="1" applyAlignment="1" applyProtection="1">
      <alignment vertical="center" shrinkToFit="1"/>
    </xf>
    <xf numFmtId="0" fontId="0" fillId="4" borderId="22" xfId="0" applyFont="1" applyFill="1" applyBorder="1" applyAlignment="1" applyProtection="1">
      <alignment vertical="center" wrapText="1"/>
    </xf>
    <xf numFmtId="179" fontId="0" fillId="4" borderId="124" xfId="0" applyNumberFormat="1" applyFill="1" applyBorder="1" applyAlignment="1" applyProtection="1">
      <alignment horizontal="center" vertical="center" shrinkToFit="1"/>
      <protection locked="0"/>
    </xf>
    <xf numFmtId="0" fontId="0" fillId="4" borderId="54" xfId="0" applyFill="1" applyBorder="1" applyAlignment="1" applyProtection="1">
      <alignment vertical="center" wrapText="1"/>
    </xf>
    <xf numFmtId="0" fontId="0" fillId="4" borderId="123" xfId="0" applyFill="1" applyBorder="1" applyAlignment="1" applyProtection="1">
      <alignment vertical="center"/>
    </xf>
    <xf numFmtId="179" fontId="0" fillId="4" borderId="125" xfId="0" applyNumberFormat="1" applyFill="1" applyBorder="1" applyAlignment="1" applyProtection="1">
      <alignment horizontal="center" vertical="center" shrinkToFit="1"/>
      <protection locked="0"/>
    </xf>
    <xf numFmtId="0" fontId="0" fillId="4" borderId="52" xfId="0" applyNumberFormat="1" applyFill="1" applyBorder="1" applyAlignment="1" applyProtection="1">
      <alignment horizontal="right" vertical="center"/>
    </xf>
    <xf numFmtId="0" fontId="0" fillId="4" borderId="57" xfId="0" applyNumberFormat="1" applyFill="1" applyBorder="1" applyAlignment="1" applyProtection="1">
      <alignment horizontal="right" vertical="center"/>
    </xf>
    <xf numFmtId="0" fontId="0" fillId="4" borderId="18" xfId="0" applyNumberFormat="1" applyFill="1" applyBorder="1" applyAlignment="1" applyProtection="1">
      <alignment horizontal="right" vertical="center"/>
    </xf>
    <xf numFmtId="0" fontId="27" fillId="4" borderId="54" xfId="0" applyFont="1" applyFill="1" applyBorder="1" applyAlignment="1" applyProtection="1">
      <alignment vertical="center" shrinkToFit="1"/>
    </xf>
    <xf numFmtId="0" fontId="0" fillId="0" borderId="4" xfId="0" applyBorder="1" applyProtection="1">
      <alignment vertical="center"/>
    </xf>
    <xf numFmtId="0" fontId="2" fillId="0" borderId="0" xfId="0" applyFont="1" applyFill="1" applyBorder="1" applyProtection="1">
      <alignment vertical="center"/>
    </xf>
    <xf numFmtId="0" fontId="0" fillId="4" borderId="167" xfId="0" applyFill="1" applyBorder="1" applyAlignment="1" applyProtection="1">
      <alignment horizontal="left" vertical="center" shrinkToFit="1"/>
      <protection locked="0"/>
    </xf>
    <xf numFmtId="0" fontId="0" fillId="11" borderId="167" xfId="0" applyFill="1" applyBorder="1" applyAlignment="1" applyProtection="1">
      <alignment horizontal="left" vertical="center" shrinkToFit="1"/>
      <protection locked="0"/>
    </xf>
    <xf numFmtId="0" fontId="0" fillId="12" borderId="167" xfId="0" applyFill="1" applyBorder="1" applyAlignment="1" applyProtection="1">
      <alignment horizontal="left" vertical="center" shrinkToFit="1"/>
      <protection locked="0"/>
    </xf>
    <xf numFmtId="0" fontId="0" fillId="0" borderId="0" xfId="0" applyAlignment="1" applyProtection="1">
      <alignment horizontal="center" vertical="center"/>
    </xf>
    <xf numFmtId="0" fontId="0" fillId="8" borderId="1" xfId="0" applyFill="1" applyBorder="1" applyAlignment="1" applyProtection="1">
      <alignment horizontal="centerContinuous" vertical="center" shrinkToFit="1"/>
      <protection locked="0"/>
    </xf>
    <xf numFmtId="0" fontId="0" fillId="8" borderId="3" xfId="0" applyFill="1" applyBorder="1" applyAlignment="1" applyProtection="1">
      <alignment horizontal="centerContinuous" vertical="center" shrinkToFit="1"/>
      <protection locked="0"/>
    </xf>
    <xf numFmtId="49" fontId="0" fillId="8" borderId="1" xfId="0" applyNumberFormat="1" applyFont="1" applyFill="1" applyBorder="1" applyAlignment="1" applyProtection="1">
      <alignment horizontal="centerContinuous" vertical="center" shrinkToFit="1"/>
      <protection locked="0"/>
    </xf>
    <xf numFmtId="49" fontId="0" fillId="8" borderId="3" xfId="0" applyNumberFormat="1" applyFont="1" applyFill="1" applyBorder="1" applyAlignment="1" applyProtection="1">
      <alignment horizontal="centerContinuous" vertical="center" shrinkToFit="1"/>
      <protection locked="0"/>
    </xf>
    <xf numFmtId="0" fontId="0" fillId="8" borderId="1" xfId="0" applyFont="1" applyFill="1" applyBorder="1" applyAlignment="1" applyProtection="1">
      <alignment horizontal="centerContinuous" vertical="center" shrinkToFit="1"/>
      <protection locked="0"/>
    </xf>
    <xf numFmtId="0" fontId="0" fillId="8" borderId="3" xfId="0" applyFont="1" applyFill="1" applyBorder="1" applyAlignment="1" applyProtection="1">
      <alignment horizontal="centerContinuous" vertical="center" shrinkToFit="1"/>
      <protection locked="0"/>
    </xf>
    <xf numFmtId="0" fontId="0" fillId="4" borderId="131" xfId="0" applyFill="1" applyBorder="1" applyAlignment="1" applyProtection="1">
      <alignment horizontal="right" vertical="center" shrinkToFit="1"/>
    </xf>
    <xf numFmtId="0" fontId="0" fillId="4" borderId="167" xfId="0" applyFill="1" applyBorder="1" applyAlignment="1" applyProtection="1">
      <alignment horizontal="right" vertical="center" shrinkToFit="1"/>
    </xf>
    <xf numFmtId="0" fontId="27" fillId="0" borderId="0" xfId="0" applyFont="1" applyFill="1" applyBorder="1" applyProtection="1">
      <alignment vertical="center"/>
    </xf>
    <xf numFmtId="0" fontId="19" fillId="0" borderId="0" xfId="0" applyFont="1" applyFill="1" applyBorder="1" applyAlignment="1" applyProtection="1">
      <alignment horizontal="center" vertical="center" shrinkToFit="1"/>
    </xf>
    <xf numFmtId="0" fontId="62" fillId="0" borderId="0" xfId="0" applyFont="1" applyFill="1" applyBorder="1" applyAlignment="1" applyProtection="1">
      <alignment vertical="center"/>
    </xf>
    <xf numFmtId="0" fontId="27" fillId="0" borderId="0" xfId="0" applyFont="1" applyFill="1" applyBorder="1" applyAlignment="1" applyProtection="1">
      <alignment horizontal="center" vertical="center" shrinkToFit="1"/>
    </xf>
    <xf numFmtId="0" fontId="27" fillId="4" borderId="168" xfId="0" applyFont="1" applyFill="1" applyBorder="1" applyAlignment="1" applyProtection="1">
      <alignment horizontal="center" vertical="center" shrinkToFit="1"/>
    </xf>
    <xf numFmtId="49" fontId="27" fillId="4" borderId="167" xfId="0" applyNumberFormat="1" applyFont="1" applyFill="1" applyBorder="1" applyAlignment="1" applyProtection="1">
      <alignment horizontal="center" vertical="center" shrinkToFit="1"/>
    </xf>
    <xf numFmtId="0" fontId="27" fillId="4" borderId="167" xfId="0" applyFont="1" applyFill="1" applyBorder="1" applyAlignment="1" applyProtection="1">
      <alignment horizontal="center" vertical="center" shrinkToFit="1"/>
    </xf>
    <xf numFmtId="0" fontId="27" fillId="4" borderId="24" xfId="0" applyFont="1" applyFill="1" applyBorder="1" applyAlignment="1" applyProtection="1">
      <alignment horizontal="center" vertical="center" shrinkToFit="1"/>
    </xf>
    <xf numFmtId="177" fontId="27" fillId="4" borderId="21" xfId="0" applyNumberFormat="1" applyFont="1" applyFill="1" applyBorder="1" applyAlignment="1" applyProtection="1">
      <alignment horizontal="center" vertical="center" shrinkToFit="1"/>
    </xf>
    <xf numFmtId="177" fontId="27" fillId="4" borderId="167" xfId="0" applyNumberFormat="1" applyFont="1" applyFill="1" applyBorder="1" applyAlignment="1" applyProtection="1">
      <alignment horizontal="center" vertical="center" shrinkToFit="1"/>
    </xf>
    <xf numFmtId="178" fontId="33" fillId="4" borderId="24" xfId="0" applyNumberFormat="1" applyFont="1" applyFill="1" applyBorder="1" applyAlignment="1" applyProtection="1">
      <alignment horizontal="center" vertical="center" shrinkToFit="1"/>
    </xf>
    <xf numFmtId="49" fontId="27" fillId="4" borderId="133" xfId="0" applyNumberFormat="1" applyFont="1" applyFill="1" applyBorder="1" applyAlignment="1" applyProtection="1">
      <alignment horizontal="center" vertical="center" shrinkToFit="1"/>
    </xf>
    <xf numFmtId="49" fontId="27" fillId="4" borderId="131" xfId="0" applyNumberFormat="1" applyFont="1" applyFill="1" applyBorder="1" applyAlignment="1" applyProtection="1">
      <alignment horizontal="center" vertical="center" shrinkToFit="1"/>
    </xf>
    <xf numFmtId="0" fontId="27" fillId="4" borderId="131" xfId="0" applyFont="1" applyFill="1" applyBorder="1" applyAlignment="1" applyProtection="1">
      <alignment horizontal="center" vertical="center" shrinkToFit="1"/>
    </xf>
    <xf numFmtId="0" fontId="27" fillId="4" borderId="134" xfId="0" applyFont="1" applyFill="1" applyBorder="1" applyAlignment="1" applyProtection="1">
      <alignment horizontal="center" vertical="center" shrinkToFit="1"/>
    </xf>
    <xf numFmtId="49" fontId="27" fillId="4" borderId="75" xfId="0" applyNumberFormat="1" applyFont="1" applyFill="1" applyBorder="1" applyAlignment="1" applyProtection="1">
      <alignment horizontal="center" vertical="center" shrinkToFit="1"/>
    </xf>
    <xf numFmtId="0" fontId="27" fillId="4" borderId="75" xfId="0" applyFont="1" applyFill="1" applyBorder="1" applyAlignment="1" applyProtection="1">
      <alignment horizontal="center" vertical="center" shrinkToFit="1"/>
    </xf>
    <xf numFmtId="0" fontId="27" fillId="4" borderId="136" xfId="0" applyFont="1" applyFill="1" applyBorder="1" applyAlignment="1" applyProtection="1">
      <alignment horizontal="center" vertical="center" shrinkToFit="1"/>
    </xf>
    <xf numFmtId="0" fontId="27" fillId="4" borderId="133" xfId="0" applyFont="1" applyFill="1" applyBorder="1" applyAlignment="1" applyProtection="1">
      <alignment horizontal="center" vertical="center" shrinkToFit="1"/>
    </xf>
    <xf numFmtId="0" fontId="27" fillId="4" borderId="139" xfId="0" applyFont="1" applyFill="1" applyBorder="1" applyAlignment="1" applyProtection="1">
      <alignment horizontal="center" vertical="center" shrinkToFit="1"/>
    </xf>
    <xf numFmtId="177" fontId="27" fillId="4" borderId="75" xfId="0" applyNumberFormat="1" applyFont="1" applyFill="1" applyBorder="1" applyAlignment="1" applyProtection="1">
      <alignment horizontal="center" vertical="center" shrinkToFit="1"/>
    </xf>
    <xf numFmtId="177" fontId="27" fillId="4" borderId="131" xfId="0" applyNumberFormat="1" applyFont="1" applyFill="1" applyBorder="1" applyAlignment="1" applyProtection="1">
      <alignment horizontal="center" vertical="center" shrinkToFit="1"/>
    </xf>
    <xf numFmtId="0" fontId="27" fillId="0" borderId="0" xfId="0" applyFont="1" applyFill="1" applyBorder="1" applyAlignment="1" applyProtection="1">
      <alignment vertical="center"/>
    </xf>
    <xf numFmtId="0" fontId="63" fillId="0" borderId="0" xfId="0" applyFont="1" applyBorder="1" applyAlignment="1" applyProtection="1">
      <alignment vertical="center" wrapText="1"/>
    </xf>
    <xf numFmtId="0" fontId="59" fillId="0" borderId="0" xfId="0" applyFont="1" applyFill="1" applyBorder="1" applyProtection="1">
      <alignment vertical="center"/>
    </xf>
    <xf numFmtId="0" fontId="0" fillId="4" borderId="5" xfId="0" applyNumberFormat="1" applyFill="1" applyBorder="1" applyAlignment="1" applyProtection="1">
      <alignment horizontal="right" vertical="center"/>
    </xf>
    <xf numFmtId="0" fontId="59" fillId="4" borderId="131" xfId="0" applyFont="1" applyFill="1" applyBorder="1" applyAlignment="1" applyProtection="1">
      <alignment horizontal="center" vertical="center" shrinkToFit="1"/>
    </xf>
    <xf numFmtId="0" fontId="0" fillId="4" borderId="167" xfId="0" applyFill="1" applyBorder="1" applyAlignment="1" applyProtection="1">
      <alignment horizontal="left" vertical="center" shrinkToFit="1"/>
      <protection locked="0"/>
    </xf>
    <xf numFmtId="0" fontId="0" fillId="11" borderId="167" xfId="0" applyFill="1" applyBorder="1" applyAlignment="1" applyProtection="1">
      <alignment horizontal="left" vertical="center" shrinkToFit="1"/>
      <protection locked="0"/>
    </xf>
    <xf numFmtId="0" fontId="0" fillId="12" borderId="167" xfId="0" applyFill="1" applyBorder="1" applyAlignment="1" applyProtection="1">
      <alignment horizontal="left" vertical="center" shrinkToFit="1"/>
      <protection locked="0"/>
    </xf>
    <xf numFmtId="0" fontId="0" fillId="0" borderId="0" xfId="0" applyAlignment="1" applyProtection="1">
      <alignment horizontal="center" vertical="center"/>
    </xf>
    <xf numFmtId="0" fontId="19" fillId="4" borderId="127" xfId="0" applyFont="1" applyFill="1" applyBorder="1" applyAlignment="1" applyProtection="1">
      <alignment horizontal="center" vertical="center"/>
    </xf>
    <xf numFmtId="0" fontId="25" fillId="0" borderId="4" xfId="0" applyFont="1" applyFill="1" applyBorder="1" applyAlignment="1">
      <alignment vertical="top" shrinkToFit="1"/>
    </xf>
    <xf numFmtId="0" fontId="25" fillId="5" borderId="4" xfId="0" applyFont="1" applyFill="1" applyBorder="1" applyAlignment="1">
      <alignment vertical="center" shrinkToFit="1"/>
    </xf>
    <xf numFmtId="0" fontId="25" fillId="5" borderId="4" xfId="0" applyFont="1" applyFill="1" applyBorder="1" applyAlignment="1">
      <alignment horizontal="right" vertical="center" shrinkToFit="1"/>
    </xf>
    <xf numFmtId="0" fontId="25" fillId="0" borderId="4" xfId="0" applyFont="1" applyFill="1" applyBorder="1" applyAlignment="1">
      <alignment vertical="center" shrinkToFit="1"/>
    </xf>
    <xf numFmtId="14" fontId="25" fillId="5" borderId="4" xfId="0" applyNumberFormat="1" applyFont="1" applyFill="1" applyBorder="1" applyAlignment="1">
      <alignment vertical="center" shrinkToFit="1"/>
    </xf>
    <xf numFmtId="0" fontId="25" fillId="0" borderId="25" xfId="0" applyFont="1" applyBorder="1" applyAlignment="1" applyProtection="1">
      <alignment vertical="center" wrapText="1"/>
    </xf>
    <xf numFmtId="0" fontId="25" fillId="0" borderId="26" xfId="0" applyFont="1" applyBorder="1" applyAlignment="1" applyProtection="1">
      <alignment vertical="center" wrapText="1"/>
    </xf>
    <xf numFmtId="0" fontId="25" fillId="0" borderId="27" xfId="0" applyFont="1" applyBorder="1" applyAlignment="1" applyProtection="1">
      <alignment vertical="center" wrapText="1"/>
    </xf>
    <xf numFmtId="0" fontId="25" fillId="0" borderId="28" xfId="0" applyFont="1" applyBorder="1" applyAlignment="1" applyProtection="1">
      <alignment vertical="center" wrapText="1"/>
    </xf>
    <xf numFmtId="0" fontId="25" fillId="0" borderId="0" xfId="0" applyFont="1" applyBorder="1" applyAlignment="1" applyProtection="1">
      <alignment vertical="center" wrapText="1"/>
    </xf>
    <xf numFmtId="0" fontId="25" fillId="0" borderId="29" xfId="0" applyFont="1" applyBorder="1" applyAlignment="1" applyProtection="1">
      <alignment vertical="center" wrapText="1"/>
    </xf>
    <xf numFmtId="0" fontId="25" fillId="0" borderId="30" xfId="0" applyFont="1" applyBorder="1" applyAlignment="1" applyProtection="1">
      <alignment vertical="center" wrapText="1"/>
    </xf>
    <xf numFmtId="0" fontId="25" fillId="0" borderId="31" xfId="0" applyFont="1" applyBorder="1" applyAlignment="1" applyProtection="1">
      <alignment vertical="center" wrapText="1"/>
    </xf>
    <xf numFmtId="0" fontId="25" fillId="0" borderId="32" xfId="0" applyFont="1" applyBorder="1" applyAlignment="1" applyProtection="1">
      <alignment vertical="center" wrapText="1"/>
    </xf>
    <xf numFmtId="0" fontId="25" fillId="0" borderId="0" xfId="0" applyFont="1" applyAlignment="1" applyProtection="1">
      <alignment horizontal="right" vertical="center" wrapText="1"/>
    </xf>
    <xf numFmtId="0" fontId="19" fillId="8" borderId="1" xfId="0" applyFont="1" applyFill="1" applyBorder="1" applyAlignment="1" applyProtection="1">
      <alignment vertical="center" wrapText="1"/>
    </xf>
    <xf numFmtId="0" fontId="27" fillId="8" borderId="24" xfId="0" applyFont="1" applyFill="1" applyBorder="1" applyAlignment="1" applyProtection="1">
      <alignment vertical="center" wrapText="1"/>
    </xf>
    <xf numFmtId="0" fontId="27" fillId="8" borderId="2" xfId="0" applyFont="1" applyFill="1" applyBorder="1" applyAlignment="1" applyProtection="1">
      <alignment vertical="center" wrapText="1"/>
    </xf>
    <xf numFmtId="0" fontId="27" fillId="8" borderId="3" xfId="0" applyFont="1" applyFill="1" applyBorder="1" applyAlignment="1" applyProtection="1">
      <alignment vertical="center" wrapText="1"/>
    </xf>
    <xf numFmtId="0" fontId="27" fillId="8" borderId="7" xfId="0" applyFont="1" applyFill="1" applyBorder="1" applyAlignment="1" applyProtection="1">
      <alignment vertical="center" wrapText="1"/>
    </xf>
    <xf numFmtId="0" fontId="27" fillId="8" borderId="21" xfId="0" applyFont="1" applyFill="1" applyBorder="1" applyAlignment="1" applyProtection="1">
      <alignment vertical="center" wrapText="1"/>
    </xf>
    <xf numFmtId="0" fontId="27" fillId="8" borderId="22" xfId="0" applyFont="1" applyFill="1" applyBorder="1" applyAlignment="1" applyProtection="1">
      <alignment vertical="center" wrapText="1"/>
    </xf>
    <xf numFmtId="0" fontId="25" fillId="0" borderId="24" xfId="0" applyFont="1" applyFill="1" applyBorder="1" applyAlignment="1" applyProtection="1">
      <alignment horizontal="center" vertical="center" wrapText="1"/>
    </xf>
    <xf numFmtId="0" fontId="0" fillId="4" borderId="131" xfId="0" applyFill="1" applyBorder="1" applyAlignment="1" applyProtection="1">
      <alignment horizontal="left" vertical="center" shrinkToFit="1"/>
      <protection locked="0"/>
    </xf>
    <xf numFmtId="0" fontId="0" fillId="4" borderId="167" xfId="0" applyFill="1" applyBorder="1" applyAlignment="1" applyProtection="1">
      <alignment horizontal="left" vertical="center" shrinkToFit="1"/>
      <protection locked="0"/>
    </xf>
    <xf numFmtId="0" fontId="0" fillId="4" borderId="74" xfId="0" applyFill="1" applyBorder="1" applyAlignment="1" applyProtection="1">
      <alignment horizontal="left" vertical="center" shrinkToFit="1"/>
      <protection locked="0"/>
    </xf>
    <xf numFmtId="0" fontId="0" fillId="4" borderId="71" xfId="0" applyFill="1" applyBorder="1" applyAlignment="1" applyProtection="1">
      <alignment horizontal="left" vertical="center" shrinkToFit="1"/>
      <protection locked="0"/>
    </xf>
    <xf numFmtId="0" fontId="0" fillId="4" borderId="166" xfId="0" applyFill="1" applyBorder="1" applyAlignment="1" applyProtection="1">
      <alignment horizontal="left" vertical="center" shrinkToFit="1"/>
      <protection locked="0"/>
    </xf>
    <xf numFmtId="0" fontId="0" fillId="4" borderId="72" xfId="0" applyFill="1" applyBorder="1" applyAlignment="1" applyProtection="1">
      <alignment horizontal="left" vertical="center" shrinkToFit="1"/>
      <protection locked="0"/>
    </xf>
    <xf numFmtId="0" fontId="0" fillId="4" borderId="139" xfId="0" applyFill="1" applyBorder="1" applyAlignment="1" applyProtection="1">
      <alignment horizontal="left" vertical="center" shrinkToFit="1"/>
      <protection locked="0"/>
    </xf>
    <xf numFmtId="0" fontId="0" fillId="4" borderId="21" xfId="0" applyFill="1" applyBorder="1" applyAlignment="1" applyProtection="1">
      <alignment horizontal="left" vertical="center" shrinkToFit="1"/>
      <protection locked="0"/>
    </xf>
    <xf numFmtId="0" fontId="0" fillId="4" borderId="174" xfId="0" applyFill="1" applyBorder="1" applyAlignment="1" applyProtection="1">
      <alignment horizontal="left" vertical="center" shrinkToFit="1"/>
      <protection locked="0"/>
    </xf>
    <xf numFmtId="0" fontId="0" fillId="4" borderId="75" xfId="0" applyFill="1" applyBorder="1" applyAlignment="1" applyProtection="1">
      <alignment horizontal="left" vertical="center" shrinkToFit="1"/>
      <protection locked="0"/>
    </xf>
    <xf numFmtId="0" fontId="0" fillId="4" borderId="164" xfId="0" applyFill="1" applyBorder="1" applyAlignment="1" applyProtection="1">
      <alignment horizontal="left" vertical="center" shrinkToFit="1"/>
      <protection locked="0"/>
    </xf>
    <xf numFmtId="0" fontId="0" fillId="4" borderId="159" xfId="0" applyFill="1" applyBorder="1" applyAlignment="1" applyProtection="1">
      <alignment horizontal="left" vertical="center" shrinkToFit="1"/>
      <protection locked="0"/>
    </xf>
    <xf numFmtId="0" fontId="0" fillId="12" borderId="157" xfId="0" applyFill="1" applyBorder="1" applyAlignment="1" applyProtection="1">
      <alignment horizontal="left" vertical="center" shrinkToFit="1"/>
      <protection locked="0"/>
    </xf>
    <xf numFmtId="0" fontId="0" fillId="12" borderId="170" xfId="0" applyFill="1" applyBorder="1" applyAlignment="1" applyProtection="1">
      <alignment horizontal="left" vertical="center" shrinkToFit="1"/>
      <protection locked="0"/>
    </xf>
    <xf numFmtId="0" fontId="0" fillId="12" borderId="158" xfId="0" applyFill="1" applyBorder="1" applyAlignment="1" applyProtection="1">
      <alignment horizontal="left" vertical="center" shrinkToFit="1"/>
      <protection locked="0"/>
    </xf>
    <xf numFmtId="0" fontId="0" fillId="4" borderId="171" xfId="0" applyFill="1" applyBorder="1" applyAlignment="1" applyProtection="1">
      <alignment horizontal="left" vertical="center" shrinkToFit="1"/>
      <protection locked="0"/>
    </xf>
    <xf numFmtId="0" fontId="0" fillId="4" borderId="46" xfId="0" applyFill="1" applyBorder="1" applyAlignment="1" applyProtection="1">
      <alignment horizontal="left" vertical="center" shrinkToFit="1"/>
      <protection locked="0"/>
    </xf>
    <xf numFmtId="0" fontId="0" fillId="4" borderId="161" xfId="0" applyFill="1" applyBorder="1" applyAlignment="1" applyProtection="1">
      <alignment horizontal="left" vertical="center" shrinkToFit="1"/>
      <protection locked="0"/>
    </xf>
    <xf numFmtId="0" fontId="25" fillId="4" borderId="1" xfId="0" applyFont="1" applyFill="1" applyBorder="1" applyAlignment="1" applyProtection="1">
      <alignment horizontal="center" vertical="center" wrapText="1" shrinkToFit="1"/>
    </xf>
    <xf numFmtId="0" fontId="25" fillId="4" borderId="135" xfId="0" applyFont="1" applyFill="1" applyBorder="1" applyAlignment="1" applyProtection="1">
      <alignment horizontal="center" vertical="center" shrinkToFit="1"/>
    </xf>
    <xf numFmtId="0" fontId="19" fillId="8" borderId="33" xfId="0" applyFont="1" applyFill="1" applyBorder="1" applyAlignment="1" applyProtection="1">
      <alignment vertical="center" wrapText="1"/>
    </xf>
    <xf numFmtId="0" fontId="27" fillId="8" borderId="0" xfId="0" applyFont="1" applyFill="1" applyBorder="1" applyAlignment="1" applyProtection="1">
      <alignment vertical="center" wrapText="1"/>
    </xf>
    <xf numFmtId="0" fontId="27" fillId="8" borderId="23" xfId="0" applyFont="1" applyFill="1" applyBorder="1" applyAlignment="1" applyProtection="1">
      <alignment vertical="center" wrapText="1"/>
    </xf>
    <xf numFmtId="0" fontId="31" fillId="6" borderId="7" xfId="0" applyFont="1" applyFill="1" applyBorder="1" applyAlignment="1" applyProtection="1">
      <alignment vertical="center" wrapText="1"/>
    </xf>
    <xf numFmtId="0" fontId="31" fillId="6" borderId="21"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27" fillId="8" borderId="19" xfId="0" applyFont="1" applyFill="1" applyBorder="1" applyAlignment="1" applyProtection="1">
      <alignment vertical="center" wrapText="1"/>
    </xf>
    <xf numFmtId="0" fontId="27" fillId="8" borderId="20" xfId="0" applyFont="1" applyFill="1" applyBorder="1" applyAlignment="1" applyProtection="1">
      <alignment vertical="center" wrapText="1"/>
    </xf>
    <xf numFmtId="49" fontId="0" fillId="8" borderId="5" xfId="0" applyNumberFormat="1" applyFill="1" applyBorder="1" applyAlignment="1" applyProtection="1">
      <alignment horizontal="center" vertical="center"/>
    </xf>
    <xf numFmtId="49" fontId="0" fillId="8" borderId="6" xfId="0" applyNumberFormat="1" applyFill="1" applyBorder="1" applyAlignment="1" applyProtection="1">
      <alignment horizontal="center" vertical="center"/>
    </xf>
    <xf numFmtId="49" fontId="0" fillId="8" borderId="18" xfId="0" applyNumberFormat="1" applyFill="1" applyBorder="1" applyAlignment="1" applyProtection="1">
      <alignment horizontal="center" vertical="center"/>
    </xf>
    <xf numFmtId="0" fontId="19" fillId="8" borderId="0" xfId="0" applyFont="1" applyFill="1" applyBorder="1" applyAlignment="1" applyProtection="1">
      <alignment vertical="center" wrapText="1"/>
    </xf>
    <xf numFmtId="0" fontId="19" fillId="8" borderId="23" xfId="0" applyFont="1" applyFill="1" applyBorder="1" applyAlignment="1" applyProtection="1">
      <alignment vertical="center" wrapText="1"/>
    </xf>
    <xf numFmtId="0" fontId="0" fillId="12" borderId="131" xfId="0" applyFill="1" applyBorder="1" applyAlignment="1" applyProtection="1">
      <alignment horizontal="left" vertical="center" shrinkToFit="1"/>
      <protection locked="0"/>
    </xf>
    <xf numFmtId="0" fontId="0" fillId="12" borderId="167" xfId="0" applyFill="1" applyBorder="1" applyAlignment="1" applyProtection="1">
      <alignment horizontal="left" vertical="center" shrinkToFit="1"/>
      <protection locked="0"/>
    </xf>
    <xf numFmtId="0" fontId="0" fillId="12" borderId="74" xfId="0" applyFill="1" applyBorder="1" applyAlignment="1" applyProtection="1">
      <alignment horizontal="left" vertical="center" shrinkToFit="1"/>
      <protection locked="0"/>
    </xf>
    <xf numFmtId="0" fontId="0" fillId="4" borderId="134" xfId="0" applyFill="1" applyBorder="1" applyAlignment="1" applyProtection="1">
      <alignment horizontal="left" vertical="center" shrinkToFit="1"/>
      <protection locked="0"/>
    </xf>
    <xf numFmtId="0" fontId="0" fillId="4" borderId="165" xfId="0" applyFill="1" applyBorder="1" applyAlignment="1" applyProtection="1">
      <alignment horizontal="left" vertical="center" shrinkToFit="1"/>
      <protection locked="0"/>
    </xf>
    <xf numFmtId="0" fontId="0" fillId="4" borderId="160" xfId="0" applyFill="1" applyBorder="1" applyAlignment="1" applyProtection="1">
      <alignment horizontal="left" vertical="center" shrinkToFit="1"/>
      <protection locked="0"/>
    </xf>
    <xf numFmtId="0" fontId="0" fillId="4" borderId="133" xfId="0" applyFill="1" applyBorder="1" applyAlignment="1" applyProtection="1">
      <alignment horizontal="left" vertical="center" shrinkToFit="1"/>
      <protection locked="0"/>
    </xf>
    <xf numFmtId="0" fontId="0" fillId="4" borderId="168" xfId="0" applyFill="1" applyBorder="1" applyAlignment="1" applyProtection="1">
      <alignment horizontal="left" vertical="center" shrinkToFit="1"/>
      <protection locked="0"/>
    </xf>
    <xf numFmtId="0" fontId="0" fillId="4" borderId="173" xfId="0" applyFill="1" applyBorder="1" applyAlignment="1" applyProtection="1">
      <alignment horizontal="left" vertical="center" shrinkToFit="1"/>
      <protection locked="0"/>
    </xf>
    <xf numFmtId="0" fontId="0" fillId="12" borderId="75" xfId="0" applyFill="1" applyBorder="1" applyAlignment="1" applyProtection="1">
      <alignment horizontal="left" vertical="center" shrinkToFit="1"/>
      <protection locked="0"/>
    </xf>
    <xf numFmtId="0" fontId="0" fillId="12" borderId="164" xfId="0" applyFill="1" applyBorder="1" applyAlignment="1" applyProtection="1">
      <alignment horizontal="left" vertical="center" shrinkToFit="1"/>
      <protection locked="0"/>
    </xf>
    <xf numFmtId="0" fontId="0" fillId="12" borderId="159" xfId="0" applyFill="1" applyBorder="1" applyAlignment="1" applyProtection="1">
      <alignment horizontal="left" vertical="center" shrinkToFit="1"/>
      <protection locked="0"/>
    </xf>
    <xf numFmtId="49" fontId="0" fillId="4" borderId="131" xfId="0" applyNumberFormat="1" applyFill="1" applyBorder="1" applyAlignment="1" applyProtection="1">
      <alignment horizontal="left" vertical="center" shrinkToFit="1"/>
      <protection locked="0"/>
    </xf>
    <xf numFmtId="49" fontId="0" fillId="4" borderId="167" xfId="0" applyNumberFormat="1" applyFill="1" applyBorder="1" applyAlignment="1" applyProtection="1">
      <alignment horizontal="left" vertical="center" shrinkToFit="1"/>
      <protection locked="0"/>
    </xf>
    <xf numFmtId="49" fontId="0" fillId="4" borderId="74" xfId="0" applyNumberFormat="1" applyFill="1" applyBorder="1" applyAlignment="1" applyProtection="1">
      <alignment horizontal="left" vertical="center" shrinkToFit="1"/>
      <protection locked="0"/>
    </xf>
    <xf numFmtId="0" fontId="31" fillId="6" borderId="1" xfId="0" applyFont="1" applyFill="1" applyBorder="1" applyAlignment="1" applyProtection="1">
      <alignment vertical="center"/>
    </xf>
    <xf numFmtId="0" fontId="31" fillId="6" borderId="2" xfId="0" applyFont="1" applyFill="1" applyBorder="1" applyAlignment="1" applyProtection="1">
      <alignment vertical="center"/>
    </xf>
    <xf numFmtId="0" fontId="31" fillId="6" borderId="21" xfId="0" applyFont="1" applyFill="1" applyBorder="1" applyAlignment="1" applyProtection="1">
      <alignment vertical="center"/>
    </xf>
    <xf numFmtId="0" fontId="31" fillId="6" borderId="3" xfId="0" applyFont="1" applyFill="1" applyBorder="1" applyAlignment="1" applyProtection="1">
      <alignment vertical="center"/>
    </xf>
    <xf numFmtId="0" fontId="31" fillId="6" borderId="7" xfId="0" applyFont="1" applyFill="1" applyBorder="1" applyAlignment="1" applyProtection="1">
      <alignment vertical="center"/>
    </xf>
    <xf numFmtId="0" fontId="31" fillId="6" borderId="22" xfId="0" applyFont="1" applyFill="1" applyBorder="1" applyAlignment="1" applyProtection="1">
      <alignment vertical="center"/>
    </xf>
    <xf numFmtId="0" fontId="0" fillId="8" borderId="19" xfId="0" applyFill="1" applyBorder="1" applyAlignment="1" applyProtection="1">
      <alignment vertical="center" wrapText="1"/>
    </xf>
    <xf numFmtId="0" fontId="0" fillId="8" borderId="24" xfId="0" applyFill="1" applyBorder="1" applyAlignment="1" applyProtection="1">
      <alignment vertical="center" wrapText="1"/>
    </xf>
    <xf numFmtId="0" fontId="0" fillId="8" borderId="20" xfId="0" applyFill="1" applyBorder="1" applyAlignment="1" applyProtection="1">
      <alignment vertical="center" wrapText="1"/>
    </xf>
    <xf numFmtId="0" fontId="0" fillId="11" borderId="71" xfId="0" applyFill="1" applyBorder="1" applyAlignment="1" applyProtection="1">
      <alignment horizontal="left" vertical="center" shrinkToFit="1"/>
      <protection locked="0"/>
    </xf>
    <xf numFmtId="0" fontId="0" fillId="11" borderId="166" xfId="0" applyFill="1" applyBorder="1" applyAlignment="1" applyProtection="1">
      <alignment horizontal="left" vertical="center" shrinkToFit="1"/>
      <protection locked="0"/>
    </xf>
    <xf numFmtId="0" fontId="0" fillId="11" borderId="72" xfId="0" applyFill="1" applyBorder="1" applyAlignment="1" applyProtection="1">
      <alignment horizontal="left" vertical="center" shrinkToFit="1"/>
      <protection locked="0"/>
    </xf>
    <xf numFmtId="0" fontId="0" fillId="12" borderId="171" xfId="0" applyFill="1" applyBorder="1" applyAlignment="1" applyProtection="1">
      <alignment horizontal="left" vertical="center" shrinkToFit="1"/>
      <protection locked="0"/>
    </xf>
    <xf numFmtId="0" fontId="0" fillId="12" borderId="46" xfId="0" applyFill="1" applyBorder="1" applyAlignment="1" applyProtection="1">
      <alignment horizontal="left" vertical="center" shrinkToFit="1"/>
      <protection locked="0"/>
    </xf>
    <xf numFmtId="0" fontId="0" fillId="12" borderId="161" xfId="0" applyFill="1" applyBorder="1" applyAlignment="1" applyProtection="1">
      <alignment horizontal="left" vertical="center" shrinkToFit="1"/>
      <protection locked="0"/>
    </xf>
    <xf numFmtId="49" fontId="0" fillId="12" borderId="131" xfId="0" applyNumberFormat="1" applyFill="1" applyBorder="1" applyAlignment="1" applyProtection="1">
      <alignment horizontal="left" vertical="center" shrinkToFit="1"/>
      <protection locked="0"/>
    </xf>
    <xf numFmtId="49" fontId="0" fillId="12" borderId="167" xfId="0" applyNumberFormat="1" applyFill="1" applyBorder="1" applyAlignment="1" applyProtection="1">
      <alignment horizontal="left" vertical="center" shrinkToFit="1"/>
      <protection locked="0"/>
    </xf>
    <xf numFmtId="49" fontId="0" fillId="12" borderId="74" xfId="0" applyNumberFormat="1" applyFill="1" applyBorder="1" applyAlignment="1" applyProtection="1">
      <alignment horizontal="left" vertical="center" shrinkToFit="1"/>
      <protection locked="0"/>
    </xf>
    <xf numFmtId="0" fontId="61" fillId="12" borderId="131" xfId="2" applyFill="1" applyBorder="1" applyAlignment="1" applyProtection="1">
      <alignment horizontal="left" vertical="center" shrinkToFit="1"/>
      <protection locked="0"/>
    </xf>
    <xf numFmtId="0" fontId="0" fillId="8" borderId="33" xfId="0" applyFill="1" applyBorder="1" applyAlignment="1" applyProtection="1">
      <alignment vertical="center" wrapText="1"/>
    </xf>
    <xf numFmtId="0" fontId="0" fillId="8" borderId="0" xfId="0" applyFill="1" applyBorder="1" applyAlignment="1" applyProtection="1">
      <alignment vertical="center" wrapText="1"/>
    </xf>
    <xf numFmtId="0" fontId="0" fillId="8" borderId="23" xfId="0" applyFill="1" applyBorder="1" applyAlignment="1" applyProtection="1">
      <alignment vertical="center" wrapText="1"/>
    </xf>
    <xf numFmtId="0" fontId="0" fillId="12" borderId="136" xfId="0" applyFill="1" applyBorder="1" applyAlignment="1" applyProtection="1">
      <alignment horizontal="left" vertical="center" shrinkToFit="1"/>
      <protection locked="0"/>
    </xf>
    <xf numFmtId="0" fontId="0" fillId="12" borderId="169" xfId="0" applyFill="1" applyBorder="1" applyAlignment="1" applyProtection="1">
      <alignment horizontal="left" vertical="center" shrinkToFit="1"/>
      <protection locked="0"/>
    </xf>
    <xf numFmtId="0" fontId="0" fillId="12" borderId="172" xfId="0" applyFill="1" applyBorder="1" applyAlignment="1" applyProtection="1">
      <alignment horizontal="left" vertical="center" shrinkToFit="1"/>
      <protection locked="0"/>
    </xf>
    <xf numFmtId="0" fontId="0" fillId="11" borderId="133" xfId="0" applyFill="1" applyBorder="1" applyAlignment="1" applyProtection="1">
      <alignment horizontal="left" vertical="center" shrinkToFit="1"/>
      <protection locked="0"/>
    </xf>
    <xf numFmtId="0" fontId="0" fillId="11" borderId="168" xfId="0" applyFill="1" applyBorder="1" applyAlignment="1" applyProtection="1">
      <alignment horizontal="left" vertical="center" shrinkToFit="1"/>
      <protection locked="0"/>
    </xf>
    <xf numFmtId="0" fontId="0" fillId="11" borderId="173" xfId="0" applyFill="1" applyBorder="1" applyAlignment="1" applyProtection="1">
      <alignment horizontal="left" vertical="center" shrinkToFit="1"/>
      <protection locked="0"/>
    </xf>
    <xf numFmtId="0" fontId="0" fillId="11" borderId="131" xfId="0" applyFill="1" applyBorder="1" applyAlignment="1" applyProtection="1">
      <alignment horizontal="left" vertical="center" shrinkToFit="1"/>
      <protection locked="0"/>
    </xf>
    <xf numFmtId="0" fontId="0" fillId="11" borderId="167" xfId="0" applyFill="1" applyBorder="1" applyAlignment="1" applyProtection="1">
      <alignment horizontal="left" vertical="center" shrinkToFit="1"/>
      <protection locked="0"/>
    </xf>
    <xf numFmtId="0" fontId="0" fillId="11" borderId="74" xfId="0" applyFill="1" applyBorder="1" applyAlignment="1" applyProtection="1">
      <alignment horizontal="left" vertical="center" shrinkToFit="1"/>
      <protection locked="0"/>
    </xf>
    <xf numFmtId="0" fontId="0" fillId="11" borderId="136" xfId="0" applyFill="1" applyBorder="1" applyAlignment="1" applyProtection="1">
      <alignment horizontal="left" vertical="center" shrinkToFit="1"/>
      <protection locked="0"/>
    </xf>
    <xf numFmtId="0" fontId="0" fillId="11" borderId="169" xfId="0" applyFill="1" applyBorder="1" applyAlignment="1" applyProtection="1">
      <alignment horizontal="left" vertical="center" shrinkToFit="1"/>
      <protection locked="0"/>
    </xf>
    <xf numFmtId="0" fontId="0" fillId="11" borderId="172" xfId="0" applyFill="1" applyBorder="1" applyAlignment="1" applyProtection="1">
      <alignment horizontal="left" vertical="center" shrinkToFit="1"/>
      <protection locked="0"/>
    </xf>
    <xf numFmtId="0" fontId="0" fillId="4" borderId="136" xfId="0" applyFill="1" applyBorder="1" applyAlignment="1" applyProtection="1">
      <alignment horizontal="left" vertical="center" shrinkToFit="1"/>
      <protection locked="0"/>
    </xf>
    <xf numFmtId="0" fontId="0" fillId="4" borderId="169" xfId="0" applyFill="1" applyBorder="1" applyAlignment="1" applyProtection="1">
      <alignment horizontal="left" vertical="center" shrinkToFit="1"/>
      <protection locked="0"/>
    </xf>
    <xf numFmtId="0" fontId="0" fillId="4" borderId="172" xfId="0" applyFill="1" applyBorder="1" applyAlignment="1" applyProtection="1">
      <alignment horizontal="left" vertical="center" shrinkToFit="1"/>
      <protection locked="0"/>
    </xf>
    <xf numFmtId="0" fontId="0" fillId="12" borderId="133" xfId="0" applyFill="1" applyBorder="1" applyAlignment="1" applyProtection="1">
      <alignment horizontal="left" vertical="center" shrinkToFit="1"/>
      <protection locked="0"/>
    </xf>
    <xf numFmtId="0" fontId="0" fillId="12" borderId="168" xfId="0" applyFill="1" applyBorder="1" applyAlignment="1" applyProtection="1">
      <alignment horizontal="left" vertical="center" shrinkToFit="1"/>
      <protection locked="0"/>
    </xf>
    <xf numFmtId="0" fontId="0" fillId="12" borderId="173" xfId="0" applyFill="1" applyBorder="1" applyAlignment="1" applyProtection="1">
      <alignment horizontal="left" vertical="center" shrinkToFit="1"/>
      <protection locked="0"/>
    </xf>
    <xf numFmtId="0" fontId="44" fillId="13" borderId="144" xfId="0" applyFont="1" applyFill="1" applyBorder="1" applyAlignment="1" applyProtection="1">
      <alignment vertical="center" wrapText="1"/>
    </xf>
    <xf numFmtId="0" fontId="44" fillId="13" borderId="145" xfId="0" applyFont="1" applyFill="1" applyBorder="1" applyAlignment="1" applyProtection="1">
      <alignment vertical="center"/>
    </xf>
    <xf numFmtId="0" fontId="44" fillId="13" borderId="146" xfId="0" applyFont="1" applyFill="1" applyBorder="1" applyAlignment="1" applyProtection="1">
      <alignment vertical="center"/>
    </xf>
    <xf numFmtId="0" fontId="44" fillId="13" borderId="147" xfId="0" applyFont="1" applyFill="1" applyBorder="1" applyAlignment="1" applyProtection="1">
      <alignment vertical="center"/>
    </xf>
    <xf numFmtId="0" fontId="44" fillId="13" borderId="0" xfId="0" applyFont="1" applyFill="1" applyBorder="1" applyAlignment="1" applyProtection="1">
      <alignment vertical="center"/>
    </xf>
    <xf numFmtId="0" fontId="44" fillId="13" borderId="148" xfId="0" applyFont="1" applyFill="1" applyBorder="1" applyAlignment="1" applyProtection="1">
      <alignment vertical="center"/>
    </xf>
    <xf numFmtId="0" fontId="44" fillId="13" borderId="149" xfId="0" applyFont="1" applyFill="1" applyBorder="1" applyAlignment="1" applyProtection="1">
      <alignment vertical="center"/>
    </xf>
    <xf numFmtId="0" fontId="44" fillId="13" borderId="150" xfId="0" applyFont="1" applyFill="1" applyBorder="1" applyAlignment="1" applyProtection="1">
      <alignment vertical="center"/>
    </xf>
    <xf numFmtId="0" fontId="44" fillId="13" borderId="151" xfId="0" applyFont="1" applyFill="1" applyBorder="1" applyAlignment="1" applyProtection="1">
      <alignment vertical="center"/>
    </xf>
    <xf numFmtId="0" fontId="31" fillId="6" borderId="0" xfId="0" applyFont="1" applyFill="1" applyBorder="1" applyAlignment="1" applyProtection="1">
      <alignment vertical="center"/>
    </xf>
    <xf numFmtId="0" fontId="28" fillId="6" borderId="7" xfId="0" applyFont="1" applyFill="1" applyBorder="1" applyAlignment="1" applyProtection="1">
      <alignment vertical="center" wrapText="1"/>
    </xf>
    <xf numFmtId="0" fontId="28" fillId="6" borderId="21"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33" fillId="6" borderId="7" xfId="0" applyFont="1" applyFill="1" applyBorder="1" applyAlignment="1" applyProtection="1">
      <alignment vertical="center" wrapText="1"/>
    </xf>
    <xf numFmtId="0" fontId="33" fillId="6" borderId="21" xfId="0" applyFont="1" applyFill="1" applyBorder="1" applyAlignment="1" applyProtection="1">
      <alignment vertical="center" wrapText="1"/>
    </xf>
    <xf numFmtId="0" fontId="33" fillId="6" borderId="22" xfId="0" applyFont="1" applyFill="1" applyBorder="1" applyAlignment="1" applyProtection="1">
      <alignment vertical="center" wrapText="1"/>
    </xf>
    <xf numFmtId="0" fontId="27" fillId="8" borderId="33" xfId="0" applyFont="1" applyFill="1" applyBorder="1" applyAlignment="1" applyProtection="1">
      <alignment vertical="center" wrapText="1"/>
    </xf>
    <xf numFmtId="177" fontId="0" fillId="12" borderId="71" xfId="0" applyNumberFormat="1" applyFill="1" applyBorder="1" applyAlignment="1" applyProtection="1">
      <alignment horizontal="left" vertical="center" shrinkToFit="1"/>
      <protection locked="0"/>
    </xf>
    <xf numFmtId="177" fontId="0" fillId="12" borderId="166" xfId="0" applyNumberFormat="1" applyFill="1" applyBorder="1" applyAlignment="1" applyProtection="1">
      <alignment horizontal="left" vertical="center" shrinkToFit="1"/>
      <protection locked="0"/>
    </xf>
    <xf numFmtId="177" fontId="0" fillId="12" borderId="72" xfId="0" applyNumberFormat="1" applyFill="1" applyBorder="1" applyAlignment="1" applyProtection="1">
      <alignment horizontal="left" vertical="center" shrinkToFit="1"/>
      <protection locked="0"/>
    </xf>
    <xf numFmtId="178" fontId="31" fillId="4" borderId="120" xfId="0" applyNumberFormat="1" applyFont="1" applyFill="1" applyBorder="1" applyAlignment="1" applyProtection="1">
      <alignment horizontal="left" vertical="center" shrinkToFit="1"/>
    </xf>
    <xf numFmtId="178" fontId="31" fillId="4" borderId="112" xfId="0" applyNumberFormat="1" applyFont="1" applyFill="1" applyBorder="1" applyAlignment="1" applyProtection="1">
      <alignment horizontal="left" vertical="center" shrinkToFit="1"/>
    </xf>
    <xf numFmtId="178" fontId="31" fillId="4" borderId="119" xfId="0" applyNumberFormat="1" applyFont="1" applyFill="1" applyBorder="1" applyAlignment="1" applyProtection="1">
      <alignment horizontal="left" vertical="center" shrinkToFit="1"/>
    </xf>
    <xf numFmtId="49" fontId="0" fillId="4" borderId="157" xfId="0" applyNumberFormat="1" applyFill="1" applyBorder="1" applyAlignment="1" applyProtection="1">
      <alignment horizontal="left" vertical="center" shrinkToFit="1"/>
      <protection locked="0"/>
    </xf>
    <xf numFmtId="49" fontId="0" fillId="4" borderId="170" xfId="0" applyNumberFormat="1" applyFill="1" applyBorder="1" applyAlignment="1" applyProtection="1">
      <alignment horizontal="left" vertical="center" shrinkToFit="1"/>
      <protection locked="0"/>
    </xf>
    <xf numFmtId="49" fontId="0" fillId="4" borderId="158" xfId="0" applyNumberFormat="1" applyFill="1" applyBorder="1" applyAlignment="1" applyProtection="1">
      <alignment horizontal="left" vertical="center" shrinkToFit="1"/>
      <protection locked="0"/>
    </xf>
    <xf numFmtId="0" fontId="23" fillId="7" borderId="1" xfId="0" applyFont="1" applyFill="1" applyBorder="1" applyAlignment="1" applyProtection="1">
      <alignment horizontal="center" vertical="center"/>
    </xf>
    <xf numFmtId="0" fontId="23" fillId="7" borderId="2" xfId="0" applyFont="1" applyFill="1" applyBorder="1" applyAlignment="1" applyProtection="1">
      <alignment horizontal="center" vertical="center"/>
    </xf>
    <xf numFmtId="0" fontId="23" fillId="7" borderId="3" xfId="0" applyFont="1" applyFill="1" applyBorder="1" applyAlignment="1" applyProtection="1">
      <alignment horizontal="center" vertical="center"/>
    </xf>
    <xf numFmtId="0" fontId="31" fillId="4" borderId="1" xfId="0" applyFont="1" applyFill="1" applyBorder="1" applyAlignment="1" applyProtection="1">
      <alignment horizontal="center" vertical="center" wrapText="1"/>
    </xf>
    <xf numFmtId="0" fontId="31" fillId="4" borderId="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0" fillId="12" borderId="69" xfId="0" applyFill="1" applyBorder="1" applyAlignment="1" applyProtection="1">
      <alignment horizontal="left" vertical="center" shrinkToFit="1"/>
      <protection locked="0"/>
    </xf>
    <xf numFmtId="0" fontId="0" fillId="12" borderId="163" xfId="0" applyFill="1" applyBorder="1" applyAlignment="1" applyProtection="1">
      <alignment horizontal="left" vertical="center" shrinkToFit="1"/>
      <protection locked="0"/>
    </xf>
    <xf numFmtId="0" fontId="0" fillId="12" borderId="70" xfId="0" applyFill="1" applyBorder="1" applyAlignment="1" applyProtection="1">
      <alignment horizontal="left" vertical="center" shrinkToFit="1"/>
      <protection locked="0"/>
    </xf>
    <xf numFmtId="0" fontId="0" fillId="4" borderId="88" xfId="0" applyFill="1" applyBorder="1" applyAlignment="1" applyProtection="1">
      <alignment horizontal="right" vertical="center" wrapText="1"/>
    </xf>
    <xf numFmtId="0" fontId="0" fillId="4" borderId="73" xfId="0" applyFill="1" applyBorder="1" applyAlignment="1" applyProtection="1">
      <alignment horizontal="right" vertical="center" wrapText="1"/>
    </xf>
    <xf numFmtId="0" fontId="0" fillId="12" borderId="75" xfId="0" applyFill="1" applyBorder="1" applyAlignment="1" applyProtection="1">
      <alignment horizontal="left" vertical="center" wrapText="1"/>
      <protection locked="0"/>
    </xf>
    <xf numFmtId="0" fontId="0" fillId="12" borderId="164" xfId="0" applyFill="1" applyBorder="1" applyAlignment="1" applyProtection="1">
      <alignment horizontal="left" vertical="center" wrapText="1"/>
      <protection locked="0"/>
    </xf>
    <xf numFmtId="0" fontId="0" fillId="12" borderId="159" xfId="0" applyFill="1" applyBorder="1" applyAlignment="1" applyProtection="1">
      <alignment horizontal="left" vertical="center" wrapText="1"/>
      <protection locked="0"/>
    </xf>
    <xf numFmtId="0" fontId="25" fillId="12" borderId="71" xfId="0" applyFont="1" applyFill="1" applyBorder="1" applyAlignment="1" applyProtection="1">
      <alignment horizontal="left" vertical="center" wrapText="1"/>
      <protection locked="0"/>
    </xf>
    <xf numFmtId="0" fontId="25" fillId="12" borderId="166" xfId="0" applyFont="1" applyFill="1" applyBorder="1" applyAlignment="1" applyProtection="1">
      <alignment horizontal="left" vertical="center" wrapText="1"/>
      <protection locked="0"/>
    </xf>
    <xf numFmtId="0" fontId="25" fillId="12" borderId="72" xfId="0" applyFont="1" applyFill="1" applyBorder="1" applyAlignment="1" applyProtection="1">
      <alignment horizontal="left" vertical="center" wrapText="1"/>
      <protection locked="0"/>
    </xf>
    <xf numFmtId="177" fontId="0" fillId="4" borderId="157" xfId="0" applyNumberFormat="1" applyFill="1" applyBorder="1" applyAlignment="1" applyProtection="1">
      <alignment horizontal="left" vertical="center" shrinkToFit="1"/>
      <protection locked="0"/>
    </xf>
    <xf numFmtId="177" fontId="0" fillId="4" borderId="170" xfId="0" applyNumberFormat="1" applyFill="1" applyBorder="1" applyAlignment="1" applyProtection="1">
      <alignment horizontal="left" vertical="center" shrinkToFit="1"/>
      <protection locked="0"/>
    </xf>
    <xf numFmtId="177" fontId="0" fillId="4" borderId="158" xfId="0" applyNumberFormat="1" applyFill="1" applyBorder="1" applyAlignment="1" applyProtection="1">
      <alignment horizontal="left" vertical="center" shrinkToFit="1"/>
      <protection locked="0"/>
    </xf>
    <xf numFmtId="0" fontId="19" fillId="0" borderId="0" xfId="0" applyFont="1" applyAlignment="1" applyProtection="1">
      <alignment vertical="center" shrinkToFit="1"/>
    </xf>
    <xf numFmtId="49" fontId="61" fillId="4" borderId="71" xfId="2" applyNumberFormat="1" applyFill="1" applyBorder="1" applyAlignment="1" applyProtection="1">
      <alignment horizontal="left" vertical="center" shrinkToFit="1"/>
      <protection locked="0"/>
    </xf>
    <xf numFmtId="49" fontId="0" fillId="4" borderId="166" xfId="0" applyNumberFormat="1" applyFill="1" applyBorder="1" applyAlignment="1" applyProtection="1">
      <alignment horizontal="left" vertical="center" shrinkToFit="1"/>
      <protection locked="0"/>
    </xf>
    <xf numFmtId="49" fontId="0" fillId="4" borderId="72" xfId="0" applyNumberFormat="1" applyFill="1" applyBorder="1" applyAlignment="1" applyProtection="1">
      <alignment horizontal="left" vertical="center" shrinkToFit="1"/>
      <protection locked="0"/>
    </xf>
    <xf numFmtId="49" fontId="0" fillId="12" borderId="157" xfId="0" applyNumberFormat="1" applyFill="1" applyBorder="1" applyAlignment="1" applyProtection="1">
      <alignment horizontal="left" vertical="center" shrinkToFit="1"/>
      <protection locked="0"/>
    </xf>
    <xf numFmtId="49" fontId="0" fillId="12" borderId="170" xfId="0" applyNumberFormat="1" applyFill="1" applyBorder="1" applyAlignment="1" applyProtection="1">
      <alignment horizontal="left" vertical="center" shrinkToFit="1"/>
      <protection locked="0"/>
    </xf>
    <xf numFmtId="49" fontId="0" fillId="12" borderId="158" xfId="0" applyNumberFormat="1" applyFill="1" applyBorder="1" applyAlignment="1" applyProtection="1">
      <alignment horizontal="left" vertical="center" shrinkToFit="1"/>
      <protection locked="0"/>
    </xf>
    <xf numFmtId="0" fontId="0" fillId="4" borderId="76" xfId="0" applyFill="1" applyBorder="1" applyAlignment="1" applyProtection="1">
      <alignment horizontal="left" vertical="center" shrinkToFit="1"/>
      <protection locked="0"/>
    </xf>
    <xf numFmtId="0" fontId="0" fillId="4" borderId="88" xfId="0" applyFill="1" applyBorder="1" applyAlignment="1" applyProtection="1">
      <alignment horizontal="left" vertical="center" shrinkToFit="1"/>
      <protection locked="0"/>
    </xf>
    <xf numFmtId="0" fontId="0" fillId="4" borderId="73" xfId="0" applyFill="1" applyBorder="1" applyAlignment="1" applyProtection="1">
      <alignment horizontal="left" vertical="center" shrinkToFit="1"/>
      <protection locked="0"/>
    </xf>
    <xf numFmtId="177" fontId="0" fillId="12" borderId="157" xfId="0" applyNumberFormat="1" applyFill="1" applyBorder="1" applyAlignment="1" applyProtection="1">
      <alignment horizontal="left" vertical="center" shrinkToFit="1"/>
      <protection locked="0"/>
    </xf>
    <xf numFmtId="177" fontId="0" fillId="12" borderId="170" xfId="0" applyNumberFormat="1" applyFill="1" applyBorder="1" applyAlignment="1" applyProtection="1">
      <alignment horizontal="left" vertical="center" shrinkToFit="1"/>
      <protection locked="0"/>
    </xf>
    <xf numFmtId="177" fontId="0" fillId="12" borderId="158" xfId="0" applyNumberFormat="1" applyFill="1" applyBorder="1" applyAlignment="1" applyProtection="1">
      <alignment horizontal="left" vertical="center" shrinkToFit="1"/>
      <protection locked="0"/>
    </xf>
    <xf numFmtId="177" fontId="0" fillId="12" borderId="131" xfId="0" applyNumberFormat="1" applyFill="1" applyBorder="1" applyAlignment="1" applyProtection="1">
      <alignment horizontal="left" vertical="center" shrinkToFit="1"/>
      <protection locked="0"/>
    </xf>
    <xf numFmtId="177" fontId="0" fillId="12" borderId="167" xfId="0" applyNumberFormat="1" applyFill="1" applyBorder="1" applyAlignment="1" applyProtection="1">
      <alignment horizontal="left" vertical="center" shrinkToFit="1"/>
      <protection locked="0"/>
    </xf>
    <xf numFmtId="177" fontId="0" fillId="12" borderId="74" xfId="0" applyNumberFormat="1" applyFill="1" applyBorder="1" applyAlignment="1" applyProtection="1">
      <alignment horizontal="left" vertical="center" shrinkToFit="1"/>
      <protection locked="0"/>
    </xf>
    <xf numFmtId="0" fontId="27" fillId="4" borderId="176" xfId="0" applyFont="1" applyFill="1" applyBorder="1" applyAlignment="1" applyProtection="1">
      <alignment vertical="center" wrapText="1"/>
    </xf>
    <xf numFmtId="0" fontId="27" fillId="4" borderId="162" xfId="0" applyFont="1" applyFill="1" applyBorder="1" applyAlignment="1" applyProtection="1">
      <alignment vertical="center" wrapText="1"/>
    </xf>
    <xf numFmtId="0" fontId="27" fillId="4" borderId="177" xfId="0" applyFont="1" applyFill="1" applyBorder="1" applyAlignment="1" applyProtection="1">
      <alignment vertical="center" wrapText="1"/>
    </xf>
    <xf numFmtId="49" fontId="0" fillId="4" borderId="136" xfId="0" applyNumberFormat="1" applyFill="1" applyBorder="1" applyAlignment="1" applyProtection="1">
      <alignment horizontal="left" vertical="center" shrinkToFit="1"/>
      <protection locked="0"/>
    </xf>
    <xf numFmtId="49" fontId="0" fillId="4" borderId="169" xfId="0" applyNumberFormat="1" applyFill="1" applyBorder="1" applyAlignment="1" applyProtection="1">
      <alignment horizontal="left" vertical="center" shrinkToFit="1"/>
      <protection locked="0"/>
    </xf>
    <xf numFmtId="49" fontId="0" fillId="4" borderId="172" xfId="0" applyNumberFormat="1" applyFill="1" applyBorder="1" applyAlignment="1" applyProtection="1">
      <alignment horizontal="left" vertical="center" shrinkToFit="1"/>
      <protection locked="0"/>
    </xf>
    <xf numFmtId="0" fontId="0" fillId="12" borderId="139" xfId="0" applyFill="1" applyBorder="1" applyAlignment="1" applyProtection="1">
      <alignment horizontal="left" vertical="center" shrinkToFit="1"/>
      <protection locked="0"/>
    </xf>
    <xf numFmtId="0" fontId="0" fillId="12" borderId="21" xfId="0" applyFill="1" applyBorder="1" applyAlignment="1" applyProtection="1">
      <alignment horizontal="left" vertical="center" shrinkToFit="1"/>
      <protection locked="0"/>
    </xf>
    <xf numFmtId="0" fontId="0" fillId="12" borderId="174" xfId="0" applyFill="1" applyBorder="1" applyAlignment="1" applyProtection="1">
      <alignment horizontal="left" vertical="center" shrinkToFit="1"/>
      <protection locked="0"/>
    </xf>
    <xf numFmtId="0" fontId="0" fillId="4" borderId="131" xfId="0" applyFill="1" applyBorder="1" applyAlignment="1" applyProtection="1">
      <alignment horizontal="left" vertical="center" wrapText="1"/>
    </xf>
    <xf numFmtId="0" fontId="0" fillId="4" borderId="167" xfId="0" applyFill="1" applyBorder="1" applyAlignment="1" applyProtection="1">
      <alignment horizontal="left" vertical="center" wrapText="1"/>
    </xf>
    <xf numFmtId="0" fontId="0" fillId="4" borderId="74" xfId="0" applyFill="1" applyBorder="1" applyAlignment="1" applyProtection="1">
      <alignment horizontal="left" vertical="center" wrapText="1"/>
    </xf>
    <xf numFmtId="0" fontId="61" fillId="4" borderId="71" xfId="2" applyFill="1" applyBorder="1" applyAlignment="1" applyProtection="1">
      <alignment horizontal="left" vertical="center" shrinkToFit="1"/>
      <protection locked="0"/>
    </xf>
    <xf numFmtId="0" fontId="0" fillId="12" borderId="76" xfId="0" applyFill="1" applyBorder="1" applyAlignment="1" applyProtection="1">
      <alignment horizontal="center" vertical="center"/>
    </xf>
    <xf numFmtId="0" fontId="0" fillId="12" borderId="88" xfId="0" applyFill="1" applyBorder="1" applyAlignment="1" applyProtection="1">
      <alignment horizontal="center" vertical="center"/>
    </xf>
    <xf numFmtId="0" fontId="0" fillId="12" borderId="73" xfId="0" applyFill="1" applyBorder="1" applyAlignment="1" applyProtection="1">
      <alignment horizontal="center" vertical="center"/>
    </xf>
    <xf numFmtId="0" fontId="0" fillId="11" borderId="76" xfId="0" applyFill="1" applyBorder="1" applyAlignment="1" applyProtection="1">
      <alignment horizontal="center" vertical="center"/>
    </xf>
    <xf numFmtId="0" fontId="0" fillId="11" borderId="88" xfId="0" applyFill="1" applyBorder="1" applyAlignment="1" applyProtection="1">
      <alignment horizontal="center" vertical="center"/>
    </xf>
    <xf numFmtId="0" fontId="0" fillId="11" borderId="73" xfId="0" applyFill="1" applyBorder="1" applyAlignment="1" applyProtection="1">
      <alignment horizontal="center" vertical="center"/>
    </xf>
    <xf numFmtId="0" fontId="0" fillId="4" borderId="76" xfId="0" applyFill="1" applyBorder="1" applyAlignment="1" applyProtection="1">
      <alignment horizontal="center" vertical="center"/>
    </xf>
    <xf numFmtId="0" fontId="0" fillId="4" borderId="88" xfId="0" applyFill="1" applyBorder="1" applyAlignment="1" applyProtection="1">
      <alignment horizontal="center" vertical="center"/>
    </xf>
    <xf numFmtId="0" fontId="0" fillId="4" borderId="73" xfId="0" applyFill="1" applyBorder="1" applyAlignment="1" applyProtection="1">
      <alignment horizontal="center" vertical="center"/>
    </xf>
    <xf numFmtId="0" fontId="27" fillId="4" borderId="131" xfId="0" applyFont="1" applyFill="1" applyBorder="1" applyAlignment="1" applyProtection="1">
      <alignment vertical="center" shrinkToFit="1"/>
    </xf>
    <xf numFmtId="0" fontId="27" fillId="4" borderId="127" xfId="0" applyFont="1" applyFill="1" applyBorder="1" applyAlignment="1" applyProtection="1">
      <alignment vertical="center" shrinkToFit="1"/>
    </xf>
    <xf numFmtId="49" fontId="0" fillId="0" borderId="131" xfId="0" applyNumberFormat="1" applyFill="1" applyBorder="1" applyAlignment="1" applyProtection="1">
      <alignment horizontal="left" vertical="center" shrinkToFit="1"/>
      <protection locked="0"/>
    </xf>
    <xf numFmtId="49" fontId="0" fillId="0" borderId="167" xfId="0" applyNumberFormat="1" applyFill="1" applyBorder="1" applyAlignment="1" applyProtection="1">
      <alignment horizontal="left" vertical="center" shrinkToFit="1"/>
      <protection locked="0"/>
    </xf>
    <xf numFmtId="49" fontId="0" fillId="0" borderId="74" xfId="0" applyNumberFormat="1" applyFill="1" applyBorder="1" applyAlignment="1" applyProtection="1">
      <alignment horizontal="left" vertical="center" shrinkToFit="1"/>
      <protection locked="0"/>
    </xf>
    <xf numFmtId="0" fontId="10" fillId="4" borderId="114" xfId="0" applyFont="1" applyFill="1" applyBorder="1" applyAlignment="1" applyProtection="1">
      <alignment vertical="center" wrapText="1" shrinkToFit="1"/>
    </xf>
    <xf numFmtId="0" fontId="10" fillId="4" borderId="3" xfId="0" applyFont="1" applyFill="1" applyBorder="1" applyAlignment="1" applyProtection="1">
      <alignment vertical="center" wrapText="1" shrinkToFit="1"/>
    </xf>
    <xf numFmtId="0" fontId="5" fillId="4" borderId="4" xfId="0" applyFont="1" applyFill="1" applyBorder="1" applyAlignment="1" applyProtection="1">
      <alignment horizontal="center" vertical="center"/>
    </xf>
    <xf numFmtId="0" fontId="9" fillId="4" borderId="4" xfId="0" applyFont="1" applyFill="1" applyBorder="1" applyAlignment="1" applyProtection="1">
      <alignment vertical="center" wrapText="1"/>
    </xf>
    <xf numFmtId="0" fontId="9" fillId="4" borderId="93" xfId="0" applyFont="1" applyFill="1" applyBorder="1" applyAlignment="1" applyProtection="1">
      <alignment vertical="center" wrapText="1"/>
    </xf>
    <xf numFmtId="0" fontId="9" fillId="4" borderId="1" xfId="0" applyFont="1" applyFill="1" applyBorder="1" applyAlignment="1" applyProtection="1">
      <alignment vertical="center" shrinkToFit="1"/>
    </xf>
    <xf numFmtId="0" fontId="9" fillId="4" borderId="2" xfId="0" applyFont="1" applyFill="1" applyBorder="1" applyAlignment="1" applyProtection="1">
      <alignment vertical="center" shrinkToFit="1"/>
    </xf>
    <xf numFmtId="0" fontId="9" fillId="4" borderId="21" xfId="0" applyFont="1" applyFill="1" applyBorder="1" applyAlignment="1" applyProtection="1">
      <alignment vertical="center" wrapText="1"/>
    </xf>
    <xf numFmtId="0" fontId="9" fillId="0" borderId="22" xfId="0" applyFont="1" applyBorder="1" applyAlignment="1" applyProtection="1">
      <alignment vertical="center"/>
    </xf>
    <xf numFmtId="0" fontId="9" fillId="0" borderId="0" xfId="0" applyFont="1" applyBorder="1" applyAlignment="1" applyProtection="1">
      <alignment vertical="center"/>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0" xfId="0" applyFont="1" applyBorder="1" applyAlignment="1" applyProtection="1">
      <alignment vertical="center"/>
    </xf>
    <xf numFmtId="0" fontId="9" fillId="4" borderId="1" xfId="0" applyFont="1" applyFill="1" applyBorder="1" applyAlignment="1" applyProtection="1">
      <alignment vertical="center" wrapText="1"/>
    </xf>
    <xf numFmtId="0" fontId="9" fillId="4" borderId="2" xfId="0" applyFont="1" applyFill="1" applyBorder="1" applyAlignment="1" applyProtection="1">
      <alignment vertical="center" wrapText="1"/>
    </xf>
    <xf numFmtId="0" fontId="10" fillId="4" borderId="139" xfId="0" applyFont="1" applyFill="1" applyBorder="1" applyAlignment="1" applyProtection="1">
      <alignment vertical="center"/>
    </xf>
    <xf numFmtId="0" fontId="10" fillId="4" borderId="22" xfId="0" applyFont="1" applyFill="1" applyBorder="1" applyAlignment="1" applyProtection="1">
      <alignment vertical="center"/>
    </xf>
    <xf numFmtId="0" fontId="10" fillId="4" borderId="152" xfId="0" applyFont="1" applyFill="1" applyBorder="1" applyAlignment="1" applyProtection="1">
      <alignment vertical="center"/>
    </xf>
    <xf numFmtId="0" fontId="10" fillId="4" borderId="23" xfId="0" applyFont="1" applyFill="1" applyBorder="1" applyAlignment="1" applyProtection="1">
      <alignment vertical="center"/>
    </xf>
    <xf numFmtId="0" fontId="10" fillId="4" borderId="153" xfId="0" applyFont="1" applyFill="1" applyBorder="1" applyAlignment="1" applyProtection="1">
      <alignment vertical="center"/>
    </xf>
    <xf numFmtId="0" fontId="10" fillId="4" borderId="20" xfId="0" applyFont="1" applyFill="1" applyBorder="1" applyAlignment="1" applyProtection="1">
      <alignment vertical="center"/>
    </xf>
    <xf numFmtId="0" fontId="5" fillId="4" borderId="7" xfId="0" applyFont="1" applyFill="1" applyBorder="1" applyAlignment="1" applyProtection="1">
      <alignment horizontal="center" vertical="center"/>
    </xf>
    <xf numFmtId="0" fontId="5" fillId="4" borderId="21" xfId="0" applyFont="1" applyFill="1" applyBorder="1" applyAlignment="1" applyProtection="1">
      <alignment horizontal="center" vertical="center"/>
    </xf>
    <xf numFmtId="0" fontId="5" fillId="4" borderId="22" xfId="0" applyFont="1" applyFill="1" applyBorder="1" applyAlignment="1" applyProtection="1">
      <alignment horizontal="center" vertical="center"/>
    </xf>
    <xf numFmtId="0" fontId="9" fillId="11" borderId="111" xfId="0" applyFont="1" applyFill="1" applyBorder="1" applyAlignment="1" applyProtection="1">
      <alignment horizontal="center" vertical="center" shrinkToFit="1"/>
    </xf>
    <xf numFmtId="0" fontId="9" fillId="11" borderId="112" xfId="0" applyFont="1" applyFill="1" applyBorder="1" applyAlignment="1" applyProtection="1">
      <alignment horizontal="center" vertical="center" shrinkToFit="1"/>
    </xf>
    <xf numFmtId="0" fontId="9" fillId="11" borderId="113" xfId="0" applyFont="1" applyFill="1" applyBorder="1" applyAlignment="1" applyProtection="1">
      <alignment horizontal="center" vertical="center" shrinkToFit="1"/>
    </xf>
    <xf numFmtId="0" fontId="9" fillId="11" borderId="116" xfId="0" applyFont="1" applyFill="1" applyBorder="1" applyAlignment="1" applyProtection="1">
      <alignment vertical="center" shrinkToFit="1"/>
    </xf>
    <xf numFmtId="0" fontId="9" fillId="11" borderId="117" xfId="0" applyFont="1" applyFill="1" applyBorder="1" applyAlignment="1" applyProtection="1">
      <alignment vertical="center" shrinkToFit="1"/>
    </xf>
    <xf numFmtId="0" fontId="9" fillId="11" borderId="118" xfId="0" applyFont="1" applyFill="1" applyBorder="1" applyAlignment="1" applyProtection="1">
      <alignment vertical="center" shrinkToFit="1"/>
    </xf>
    <xf numFmtId="0" fontId="9" fillId="11" borderId="114" xfId="0" applyFont="1" applyFill="1" applyBorder="1" applyAlignment="1" applyProtection="1">
      <alignment horizontal="right" vertical="center" shrinkToFit="1"/>
    </xf>
    <xf numFmtId="0" fontId="9" fillId="11" borderId="2" xfId="0" applyFont="1" applyFill="1" applyBorder="1" applyAlignment="1" applyProtection="1">
      <alignment horizontal="right" vertical="center" shrinkToFit="1"/>
    </xf>
    <xf numFmtId="0" fontId="9" fillId="11" borderId="115" xfId="0" applyFont="1" applyFill="1" applyBorder="1" applyAlignment="1" applyProtection="1">
      <alignment horizontal="right" vertical="center" shrinkToFit="1"/>
    </xf>
    <xf numFmtId="0" fontId="5" fillId="4" borderId="1" xfId="0" applyFont="1" applyFill="1" applyBorder="1" applyAlignment="1" applyProtection="1">
      <alignment horizontal="center" vertical="center"/>
    </xf>
    <xf numFmtId="0" fontId="5" fillId="4" borderId="3" xfId="0" applyFont="1" applyFill="1" applyBorder="1" applyAlignment="1" applyProtection="1">
      <alignment horizontal="center" vertical="center"/>
    </xf>
    <xf numFmtId="0" fontId="10" fillId="4" borderId="2" xfId="0" applyFont="1" applyFill="1" applyBorder="1" applyAlignment="1" applyProtection="1">
      <alignment vertical="center" wrapText="1" shrinkToFit="1"/>
    </xf>
    <xf numFmtId="0" fontId="5" fillId="4" borderId="2" xfId="0" applyFont="1" applyFill="1" applyBorder="1" applyAlignment="1" applyProtection="1">
      <alignment horizontal="center" vertical="center"/>
    </xf>
    <xf numFmtId="0" fontId="5" fillId="0" borderId="3" xfId="0" applyFont="1" applyBorder="1" applyAlignment="1" applyProtection="1">
      <alignment horizontal="center" vertical="center"/>
    </xf>
    <xf numFmtId="0" fontId="5" fillId="5" borderId="25" xfId="0" applyFont="1" applyFill="1" applyBorder="1" applyAlignment="1" applyProtection="1">
      <alignment vertical="top" wrapText="1"/>
    </xf>
    <xf numFmtId="0" fontId="5" fillId="5" borderId="26" xfId="0" applyFont="1" applyFill="1" applyBorder="1" applyAlignment="1" applyProtection="1">
      <alignment vertical="top" wrapText="1"/>
    </xf>
    <xf numFmtId="0" fontId="5" fillId="5" borderId="27" xfId="0" applyFont="1" applyFill="1" applyBorder="1" applyAlignment="1" applyProtection="1">
      <alignment vertical="top" wrapText="1"/>
    </xf>
    <xf numFmtId="0" fontId="5" fillId="5" borderId="28" xfId="0" applyFont="1" applyFill="1" applyBorder="1" applyAlignment="1" applyProtection="1">
      <alignment vertical="top" wrapText="1"/>
    </xf>
    <xf numFmtId="0" fontId="5" fillId="5" borderId="0" xfId="0" applyFont="1" applyFill="1" applyBorder="1" applyAlignment="1" applyProtection="1">
      <alignment vertical="top" wrapText="1"/>
    </xf>
    <xf numFmtId="0" fontId="5" fillId="5" borderId="29" xfId="0" applyFont="1" applyFill="1" applyBorder="1" applyAlignment="1" applyProtection="1">
      <alignment vertical="top" wrapText="1"/>
    </xf>
    <xf numFmtId="0" fontId="5" fillId="5" borderId="30" xfId="0" applyFont="1" applyFill="1" applyBorder="1" applyAlignment="1" applyProtection="1">
      <alignment vertical="top" wrapText="1"/>
    </xf>
    <xf numFmtId="0" fontId="5" fillId="5" borderId="31" xfId="0" applyFont="1" applyFill="1" applyBorder="1" applyAlignment="1" applyProtection="1">
      <alignment vertical="top" wrapText="1"/>
    </xf>
    <xf numFmtId="0" fontId="5" fillId="5" borderId="32" xfId="0" applyFont="1" applyFill="1" applyBorder="1" applyAlignment="1" applyProtection="1">
      <alignment vertical="top" wrapText="1"/>
    </xf>
    <xf numFmtId="0" fontId="9" fillId="4" borderId="9" xfId="0" applyFont="1" applyFill="1" applyBorder="1" applyAlignment="1" applyProtection="1">
      <alignment vertical="top" shrinkToFit="1"/>
    </xf>
    <xf numFmtId="0" fontId="9" fillId="0" borderId="13" xfId="0" applyFont="1" applyBorder="1" applyAlignment="1" applyProtection="1">
      <alignment vertical="top" shrinkToFit="1"/>
    </xf>
    <xf numFmtId="0" fontId="10" fillId="4" borderId="143" xfId="0" applyFont="1" applyFill="1" applyBorder="1" applyAlignment="1" applyProtection="1">
      <alignment vertical="center" shrinkToFit="1"/>
    </xf>
    <xf numFmtId="0" fontId="10" fillId="4" borderId="78" xfId="0" applyFont="1" applyFill="1" applyBorder="1" applyAlignment="1" applyProtection="1">
      <alignment vertical="center" shrinkToFit="1"/>
    </xf>
    <xf numFmtId="0" fontId="10" fillId="4" borderId="12" xfId="0" applyFont="1" applyFill="1" applyBorder="1" applyAlignment="1" applyProtection="1">
      <alignment vertical="center" shrinkToFit="1"/>
    </xf>
    <xf numFmtId="0" fontId="9" fillId="0" borderId="6" xfId="0" applyFont="1" applyBorder="1" applyAlignment="1" applyProtection="1">
      <alignment vertical="top" shrinkToFit="1"/>
    </xf>
    <xf numFmtId="0" fontId="9" fillId="4" borderId="78" xfId="0" applyFont="1" applyFill="1" applyBorder="1" applyAlignment="1" applyProtection="1">
      <alignment vertical="center" shrinkToFit="1"/>
    </xf>
    <xf numFmtId="0" fontId="0" fillId="0" borderId="12" xfId="0" applyBorder="1" applyAlignment="1" applyProtection="1">
      <alignment vertical="center" shrinkToFit="1"/>
    </xf>
    <xf numFmtId="0" fontId="0" fillId="0" borderId="3" xfId="0" applyBorder="1" applyAlignment="1" applyProtection="1">
      <alignment vertical="center" shrinkToFit="1"/>
    </xf>
    <xf numFmtId="0" fontId="9" fillId="4" borderId="77" xfId="0" applyFont="1" applyFill="1" applyBorder="1" applyAlignment="1" applyProtection="1">
      <alignment vertical="center" shrinkToFit="1"/>
    </xf>
    <xf numFmtId="0" fontId="0" fillId="0" borderId="8" xfId="0" applyBorder="1" applyAlignment="1" applyProtection="1">
      <alignment vertical="center" shrinkToFit="1"/>
    </xf>
    <xf numFmtId="0" fontId="9" fillId="4" borderId="6" xfId="0" applyFont="1" applyFill="1" applyBorder="1" applyAlignment="1" applyProtection="1">
      <alignment horizontal="center" vertical="top" shrinkToFit="1"/>
    </xf>
    <xf numFmtId="0" fontId="9" fillId="0" borderId="18" xfId="0" applyFont="1" applyBorder="1" applyAlignment="1" applyProtection="1">
      <alignment vertical="top" shrinkToFit="1"/>
    </xf>
    <xf numFmtId="0" fontId="9" fillId="4" borderId="6" xfId="0" applyFont="1" applyFill="1" applyBorder="1" applyAlignment="1" applyProtection="1">
      <alignment vertical="top" shrinkToFit="1"/>
    </xf>
    <xf numFmtId="0" fontId="9" fillId="4" borderId="9" xfId="0" applyFont="1" applyFill="1" applyBorder="1" applyAlignment="1" applyProtection="1">
      <alignment horizontal="center" vertical="top" shrinkToFit="1"/>
    </xf>
    <xf numFmtId="0" fontId="18" fillId="4" borderId="10" xfId="0" applyFont="1" applyFill="1" applyBorder="1" applyAlignment="1" applyProtection="1">
      <alignment horizontal="center" vertical="top" shrinkToFit="1"/>
    </xf>
    <xf numFmtId="0" fontId="18" fillId="0" borderId="14" xfId="0" applyFont="1" applyBorder="1" applyAlignment="1" applyProtection="1">
      <alignment vertical="top" shrinkToFit="1"/>
    </xf>
    <xf numFmtId="0" fontId="9" fillId="4" borderId="5" xfId="0" applyFont="1" applyFill="1" applyBorder="1" applyAlignment="1" applyProtection="1">
      <alignment horizontal="center" vertical="top" shrinkToFit="1"/>
    </xf>
    <xf numFmtId="0" fontId="9" fillId="4" borderId="5" xfId="0" applyFont="1" applyFill="1" applyBorder="1" applyAlignment="1" applyProtection="1">
      <alignment vertical="top" shrinkToFit="1"/>
    </xf>
    <xf numFmtId="0" fontId="10" fillId="4" borderId="24" xfId="0" applyFont="1" applyFill="1" applyBorder="1" applyAlignment="1" applyProtection="1">
      <alignment vertical="center" wrapText="1" shrinkToFit="1"/>
    </xf>
    <xf numFmtId="0" fontId="9" fillId="4" borderId="24" xfId="0" applyFont="1" applyFill="1" applyBorder="1" applyAlignment="1" applyProtection="1">
      <alignment vertical="center" shrinkToFit="1"/>
    </xf>
    <xf numFmtId="0" fontId="0" fillId="0" borderId="20" xfId="0" applyBorder="1" applyAlignment="1" applyProtection="1">
      <alignment vertical="center" shrinkToFit="1"/>
    </xf>
    <xf numFmtId="0" fontId="9" fillId="4" borderId="15" xfId="0" applyFont="1" applyFill="1" applyBorder="1" applyAlignment="1" applyProtection="1">
      <alignment vertical="center" wrapText="1" shrinkToFit="1"/>
    </xf>
    <xf numFmtId="0" fontId="9" fillId="4" borderId="77" xfId="0" applyFont="1" applyFill="1" applyBorder="1" applyAlignment="1" applyProtection="1">
      <alignment vertical="center" wrapText="1" shrinkToFit="1"/>
    </xf>
    <xf numFmtId="0" fontId="9" fillId="0" borderId="8" xfId="0" applyFont="1" applyBorder="1" applyAlignment="1" applyProtection="1">
      <alignment vertical="center" wrapText="1" shrinkToFit="1"/>
    </xf>
    <xf numFmtId="0" fontId="9" fillId="4" borderId="155" xfId="0" applyFont="1" applyFill="1" applyBorder="1" applyAlignment="1" applyProtection="1">
      <alignment vertical="center" shrinkToFit="1"/>
    </xf>
    <xf numFmtId="0" fontId="9" fillId="4" borderId="34" xfId="0" applyFont="1" applyFill="1" applyBorder="1" applyAlignment="1" applyProtection="1">
      <alignment vertical="center" shrinkToFit="1"/>
    </xf>
    <xf numFmtId="0" fontId="9" fillId="4" borderId="17" xfId="0" applyFont="1" applyFill="1" applyBorder="1" applyAlignment="1" applyProtection="1">
      <alignment vertical="center" shrinkToFit="1"/>
    </xf>
    <xf numFmtId="0" fontId="9" fillId="4" borderId="156" xfId="0" applyFont="1" applyFill="1" applyBorder="1" applyAlignment="1" applyProtection="1">
      <alignment vertical="center" shrinkToFit="1"/>
    </xf>
    <xf numFmtId="0" fontId="9" fillId="4" borderId="36" xfId="0" applyFont="1" applyFill="1" applyBorder="1" applyAlignment="1" applyProtection="1">
      <alignment vertical="center" shrinkToFit="1"/>
    </xf>
    <xf numFmtId="0" fontId="9" fillId="4" borderId="37" xfId="0" applyFont="1" applyFill="1" applyBorder="1" applyAlignment="1" applyProtection="1">
      <alignment vertical="center" shrinkToFit="1"/>
    </xf>
    <xf numFmtId="0" fontId="10" fillId="4" borderId="21" xfId="0" applyFont="1" applyFill="1" applyBorder="1" applyAlignment="1" applyProtection="1">
      <alignment vertical="center"/>
    </xf>
    <xf numFmtId="0" fontId="10" fillId="4" borderId="0" xfId="0" applyFont="1" applyFill="1" applyBorder="1" applyAlignment="1" applyProtection="1">
      <alignment vertical="center"/>
    </xf>
    <xf numFmtId="0" fontId="10" fillId="4" borderId="24" xfId="0" applyFont="1" applyFill="1" applyBorder="1" applyAlignment="1" applyProtection="1">
      <alignment vertical="center"/>
    </xf>
    <xf numFmtId="0" fontId="9" fillId="4" borderId="34" xfId="0" applyFont="1" applyFill="1" applyBorder="1" applyAlignment="1" applyProtection="1">
      <alignment vertical="center" wrapText="1" shrinkToFit="1"/>
    </xf>
    <xf numFmtId="0" fontId="0" fillId="0" borderId="17" xfId="0" applyBorder="1" applyAlignment="1" applyProtection="1">
      <alignment vertical="center" shrinkToFit="1"/>
    </xf>
    <xf numFmtId="0" fontId="10" fillId="4" borderId="139" xfId="0" applyFont="1" applyFill="1" applyBorder="1" applyAlignment="1" applyProtection="1">
      <alignment vertical="center" shrinkToFit="1"/>
    </xf>
    <xf numFmtId="0" fontId="10" fillId="4" borderId="21" xfId="0" applyFont="1" applyFill="1" applyBorder="1" applyAlignment="1" applyProtection="1">
      <alignment vertical="center" shrinkToFit="1"/>
    </xf>
    <xf numFmtId="0" fontId="10" fillId="4" borderId="22" xfId="0" applyFont="1" applyFill="1" applyBorder="1" applyAlignment="1" applyProtection="1">
      <alignment vertical="center" shrinkToFit="1"/>
    </xf>
    <xf numFmtId="0" fontId="10" fillId="4" borderId="153" xfId="0" applyFont="1" applyFill="1" applyBorder="1" applyAlignment="1" applyProtection="1">
      <alignment vertical="center" shrinkToFit="1"/>
    </xf>
    <xf numFmtId="0" fontId="10" fillId="4" borderId="24" xfId="0" applyFont="1" applyFill="1" applyBorder="1" applyAlignment="1" applyProtection="1">
      <alignment vertical="center" shrinkToFit="1"/>
    </xf>
    <xf numFmtId="0" fontId="10" fillId="4" borderId="20" xfId="0" applyFont="1" applyFill="1" applyBorder="1" applyAlignment="1" applyProtection="1">
      <alignment vertical="center" shrinkToFit="1"/>
    </xf>
    <xf numFmtId="0" fontId="5" fillId="11" borderId="0" xfId="0" applyFont="1" applyFill="1" applyBorder="1" applyAlignment="1" applyProtection="1">
      <alignment horizontal="center" vertical="center"/>
      <protection locked="0"/>
    </xf>
    <xf numFmtId="0" fontId="0" fillId="11" borderId="0" xfId="0" applyFill="1" applyBorder="1" applyAlignment="1" applyProtection="1">
      <alignment horizontal="center" vertical="center"/>
      <protection locked="0"/>
    </xf>
    <xf numFmtId="0" fontId="5" fillId="0" borderId="0" xfId="0" applyFont="1" applyAlignment="1" applyProtection="1">
      <alignment horizontal="center" vertical="center"/>
    </xf>
    <xf numFmtId="0" fontId="0" fillId="0" borderId="0" xfId="0" applyAlignment="1" applyProtection="1">
      <alignment horizontal="center" vertical="center"/>
    </xf>
    <xf numFmtId="0" fontId="5" fillId="4" borderId="38" xfId="0" applyFont="1" applyFill="1" applyBorder="1" applyAlignment="1" applyProtection="1">
      <alignment horizontal="center" vertical="center"/>
    </xf>
    <xf numFmtId="0" fontId="0" fillId="4" borderId="39" xfId="0" applyFill="1" applyBorder="1" applyAlignment="1" applyProtection="1">
      <alignment horizontal="center" vertical="center"/>
    </xf>
    <xf numFmtId="0" fontId="0" fillId="4" borderId="40" xfId="0" applyFill="1" applyBorder="1" applyAlignment="1" applyProtection="1">
      <alignment horizontal="center" vertical="center"/>
    </xf>
    <xf numFmtId="0" fontId="5" fillId="0" borderId="41" xfId="0" applyFon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11" borderId="122" xfId="0" applyFill="1" applyBorder="1" applyAlignment="1" applyProtection="1">
      <alignment horizontal="center" vertical="center"/>
      <protection locked="0"/>
    </xf>
    <xf numFmtId="0" fontId="0" fillId="11" borderId="118" xfId="0" applyFill="1" applyBorder="1" applyAlignment="1" applyProtection="1">
      <alignment horizontal="center" vertical="center"/>
      <protection locked="0"/>
    </xf>
    <xf numFmtId="0" fontId="5" fillId="4" borderId="3" xfId="0" applyFont="1" applyFill="1" applyBorder="1" applyAlignment="1" applyProtection="1">
      <alignment vertical="center"/>
    </xf>
    <xf numFmtId="0" fontId="0" fillId="4" borderId="4" xfId="0" applyFill="1" applyBorder="1" applyAlignment="1" applyProtection="1">
      <alignment vertical="center"/>
    </xf>
    <xf numFmtId="0" fontId="0" fillId="4" borderId="4" xfId="0" applyFill="1" applyBorder="1" applyAlignment="1" applyProtection="1">
      <alignment horizontal="center" vertical="center"/>
    </xf>
    <xf numFmtId="176" fontId="5" fillId="4" borderId="4" xfId="0" applyNumberFormat="1" applyFont="1" applyFill="1" applyBorder="1" applyAlignment="1" applyProtection="1">
      <alignment horizontal="center" vertical="center"/>
    </xf>
    <xf numFmtId="176" fontId="0" fillId="4" borderId="4" xfId="0" applyNumberFormat="1" applyFill="1" applyBorder="1" applyAlignment="1" applyProtection="1">
      <alignment horizontal="center" vertical="center"/>
    </xf>
    <xf numFmtId="0" fontId="0" fillId="4" borderId="1" xfId="0" applyFill="1" applyBorder="1" applyAlignment="1" applyProtection="1">
      <alignment horizontal="center" vertical="center"/>
    </xf>
    <xf numFmtId="0" fontId="5" fillId="11" borderId="116" xfId="0" applyFont="1" applyFill="1" applyBorder="1" applyAlignment="1" applyProtection="1">
      <alignment horizontal="center" vertical="center"/>
      <protection locked="0"/>
    </xf>
    <xf numFmtId="0" fontId="0" fillId="11" borderId="117" xfId="0" applyFill="1" applyBorder="1" applyAlignment="1" applyProtection="1">
      <alignment horizontal="center" vertical="center"/>
      <protection locked="0"/>
    </xf>
    <xf numFmtId="0" fontId="0" fillId="11" borderId="121" xfId="0" applyFill="1" applyBorder="1" applyAlignment="1" applyProtection="1">
      <alignment horizontal="center" vertical="center"/>
      <protection locked="0"/>
    </xf>
    <xf numFmtId="0" fontId="5" fillId="11" borderId="114" xfId="0" applyFont="1" applyFill="1" applyBorder="1" applyAlignment="1" applyProtection="1">
      <alignment horizontal="center" vertical="center"/>
      <protection locked="0"/>
    </xf>
    <xf numFmtId="0" fontId="0" fillId="11" borderId="2" xfId="0" applyFill="1" applyBorder="1" applyAlignment="1" applyProtection="1">
      <alignment horizontal="center" vertical="center"/>
      <protection locked="0"/>
    </xf>
    <xf numFmtId="0" fontId="0" fillId="11" borderId="3" xfId="0" applyFill="1" applyBorder="1" applyAlignment="1" applyProtection="1">
      <alignment horizontal="center" vertical="center"/>
      <protection locked="0"/>
    </xf>
    <xf numFmtId="0" fontId="0" fillId="11" borderId="1" xfId="0" applyFill="1" applyBorder="1" applyAlignment="1" applyProtection="1">
      <alignment horizontal="center" vertical="center"/>
      <protection locked="0"/>
    </xf>
    <xf numFmtId="0" fontId="0" fillId="11" borderId="115" xfId="0" applyFill="1" applyBorder="1" applyAlignment="1" applyProtection="1">
      <alignment horizontal="center" vertical="center"/>
      <protection locked="0"/>
    </xf>
    <xf numFmtId="0" fontId="5" fillId="4" borderId="18" xfId="0" applyFont="1" applyFill="1" applyBorder="1" applyAlignment="1" applyProtection="1">
      <alignment horizontal="center" vertical="center"/>
    </xf>
    <xf numFmtId="0" fontId="0" fillId="4" borderId="18" xfId="0" applyFill="1" applyBorder="1" applyAlignment="1" applyProtection="1">
      <alignment horizontal="center" vertical="center"/>
    </xf>
    <xf numFmtId="0" fontId="5" fillId="11" borderId="111" xfId="0" applyFont="1" applyFill="1" applyBorder="1" applyAlignment="1" applyProtection="1">
      <alignment horizontal="center" vertical="center"/>
      <protection locked="0"/>
    </xf>
    <xf numFmtId="0" fontId="0" fillId="11" borderId="112" xfId="0" applyFill="1" applyBorder="1" applyAlignment="1" applyProtection="1">
      <alignment horizontal="center" vertical="center"/>
      <protection locked="0"/>
    </xf>
    <xf numFmtId="0" fontId="0" fillId="11" borderId="119" xfId="0" applyFill="1" applyBorder="1" applyAlignment="1" applyProtection="1">
      <alignment horizontal="center" vertical="center"/>
      <protection locked="0"/>
    </xf>
    <xf numFmtId="0" fontId="0" fillId="11" borderId="120" xfId="0" applyFill="1" applyBorder="1" applyAlignment="1" applyProtection="1">
      <alignment horizontal="center" vertical="center"/>
      <protection locked="0"/>
    </xf>
    <xf numFmtId="0" fontId="0" fillId="11" borderId="113" xfId="0" applyFill="1" applyBorder="1" applyAlignment="1" applyProtection="1">
      <alignment horizontal="center" vertical="center"/>
      <protection locked="0"/>
    </xf>
    <xf numFmtId="0" fontId="5" fillId="4" borderId="5" xfId="0" applyFont="1" applyFill="1" applyBorder="1" applyAlignment="1" applyProtection="1">
      <alignment horizontal="center" vertical="center"/>
    </xf>
    <xf numFmtId="0" fontId="0" fillId="4" borderId="5" xfId="0" applyFill="1" applyBorder="1" applyAlignment="1" applyProtection="1">
      <alignment horizontal="center" vertical="center"/>
    </xf>
    <xf numFmtId="0" fontId="5" fillId="4" borderId="6" xfId="0" applyFont="1" applyFill="1" applyBorder="1" applyAlignment="1" applyProtection="1">
      <alignment horizontal="center" vertical="center"/>
    </xf>
    <xf numFmtId="0" fontId="0" fillId="4" borderId="6" xfId="0" applyFill="1" applyBorder="1" applyAlignment="1" applyProtection="1">
      <alignment horizontal="center" vertical="center"/>
    </xf>
    <xf numFmtId="0" fontId="9" fillId="4" borderId="4" xfId="0" applyFont="1" applyFill="1" applyBorder="1" applyAlignment="1" applyProtection="1">
      <alignment vertical="center" shrinkToFit="1"/>
    </xf>
    <xf numFmtId="0" fontId="60" fillId="4" borderId="4" xfId="0" applyFont="1" applyFill="1" applyBorder="1" applyAlignment="1" applyProtection="1">
      <alignment vertical="center" shrinkToFit="1"/>
    </xf>
    <xf numFmtId="0" fontId="60" fillId="4" borderId="1" xfId="0" applyFont="1" applyFill="1" applyBorder="1" applyAlignment="1" applyProtection="1">
      <alignment vertical="center" shrinkToFit="1"/>
    </xf>
    <xf numFmtId="0" fontId="18" fillId="4" borderId="18" xfId="0" applyFont="1" applyFill="1" applyBorder="1" applyAlignment="1" applyProtection="1">
      <alignment vertical="top" shrinkToFit="1"/>
    </xf>
    <xf numFmtId="0" fontId="19" fillId="4" borderId="18" xfId="0" applyFont="1" applyFill="1" applyBorder="1" applyAlignment="1" applyProtection="1">
      <alignment vertical="center" shrinkToFit="1"/>
    </xf>
    <xf numFmtId="0" fontId="18" fillId="4" borderId="18" xfId="0" applyFont="1" applyFill="1" applyBorder="1" applyAlignment="1" applyProtection="1">
      <alignment horizontal="center" vertical="center" shrinkToFit="1"/>
    </xf>
    <xf numFmtId="0" fontId="19" fillId="0" borderId="18" xfId="0" applyFont="1" applyBorder="1" applyAlignment="1" applyProtection="1">
      <alignment horizontal="center" vertical="center" shrinkToFit="1"/>
    </xf>
    <xf numFmtId="0" fontId="19" fillId="0" borderId="19" xfId="0" applyFont="1" applyBorder="1" applyAlignment="1" applyProtection="1">
      <alignment horizontal="center" vertical="center" shrinkToFit="1"/>
    </xf>
    <xf numFmtId="0" fontId="5" fillId="11" borderId="106" xfId="0" applyFont="1" applyFill="1" applyBorder="1" applyAlignment="1" applyProtection="1">
      <alignment vertical="center"/>
      <protection locked="0"/>
    </xf>
    <xf numFmtId="0" fontId="0" fillId="11" borderId="18" xfId="0" applyFill="1" applyBorder="1" applyAlignment="1" applyProtection="1">
      <alignment vertical="center"/>
      <protection locked="0"/>
    </xf>
    <xf numFmtId="0" fontId="0" fillId="11" borderId="107" xfId="0" applyFill="1" applyBorder="1" applyAlignment="1" applyProtection="1">
      <alignment vertical="center"/>
      <protection locked="0"/>
    </xf>
    <xf numFmtId="0" fontId="18" fillId="4" borderId="20" xfId="0" applyFont="1" applyFill="1" applyBorder="1" applyAlignment="1" applyProtection="1">
      <alignment vertical="center" shrinkToFit="1"/>
    </xf>
    <xf numFmtId="0" fontId="19" fillId="0" borderId="18" xfId="0" applyFont="1" applyBorder="1" applyAlignment="1" applyProtection="1">
      <alignment vertical="center" shrinkToFit="1"/>
    </xf>
    <xf numFmtId="0" fontId="18" fillId="4" borderId="4" xfId="0" applyFont="1" applyFill="1" applyBorder="1" applyAlignment="1" applyProtection="1">
      <alignment vertical="center" shrinkToFit="1"/>
    </xf>
    <xf numFmtId="0" fontId="19" fillId="0" borderId="4" xfId="0" applyFont="1" applyBorder="1" applyAlignment="1" applyProtection="1">
      <alignment vertical="center" shrinkToFit="1"/>
    </xf>
    <xf numFmtId="0" fontId="18" fillId="4" borderId="4" xfId="0" applyFont="1" applyFill="1" applyBorder="1" applyAlignment="1" applyProtection="1">
      <alignment horizontal="center" vertical="center" shrinkToFit="1"/>
    </xf>
    <xf numFmtId="0" fontId="19" fillId="0" borderId="4" xfId="0" applyFont="1" applyBorder="1" applyAlignment="1" applyProtection="1">
      <alignment horizontal="center" vertical="center" shrinkToFit="1"/>
    </xf>
    <xf numFmtId="0" fontId="19" fillId="0" borderId="1" xfId="0" applyFont="1" applyBorder="1" applyAlignment="1" applyProtection="1">
      <alignment horizontal="center" vertical="center" shrinkToFit="1"/>
    </xf>
    <xf numFmtId="0" fontId="5" fillId="11" borderId="92" xfId="0" applyFont="1" applyFill="1" applyBorder="1" applyAlignment="1" applyProtection="1">
      <alignment vertical="center"/>
      <protection locked="0"/>
    </xf>
    <xf numFmtId="0" fontId="0" fillId="11" borderId="4" xfId="0" applyFill="1" applyBorder="1" applyAlignment="1" applyProtection="1">
      <alignment vertical="center"/>
      <protection locked="0"/>
    </xf>
    <xf numFmtId="0" fontId="0" fillId="11" borderId="93" xfId="0" applyFill="1" applyBorder="1" applyAlignment="1" applyProtection="1">
      <alignment vertical="center"/>
      <protection locked="0"/>
    </xf>
    <xf numFmtId="0" fontId="18" fillId="4" borderId="3" xfId="0" applyFont="1" applyFill="1" applyBorder="1" applyAlignment="1" applyProtection="1">
      <alignment vertical="center" shrinkToFit="1"/>
    </xf>
    <xf numFmtId="0" fontId="9" fillId="4" borderId="7" xfId="0" applyFont="1" applyFill="1" applyBorder="1" applyAlignment="1" applyProtection="1">
      <alignment vertical="center" wrapText="1" shrinkToFit="1"/>
    </xf>
    <xf numFmtId="0" fontId="60" fillId="4" borderId="21" xfId="0" applyFont="1" applyFill="1" applyBorder="1" applyAlignment="1" applyProtection="1">
      <alignment vertical="center" wrapText="1" shrinkToFit="1"/>
    </xf>
    <xf numFmtId="0" fontId="60" fillId="4" borderId="22" xfId="0" applyFont="1" applyFill="1" applyBorder="1" applyAlignment="1" applyProtection="1">
      <alignment vertical="center" wrapText="1" shrinkToFit="1"/>
    </xf>
    <xf numFmtId="0" fontId="60" fillId="0" borderId="33" xfId="0" applyFont="1" applyBorder="1" applyAlignment="1" applyProtection="1">
      <alignment vertical="center" wrapText="1"/>
    </xf>
    <xf numFmtId="0" fontId="60" fillId="0" borderId="0" xfId="0" applyFont="1" applyAlignment="1" applyProtection="1">
      <alignment vertical="center" wrapText="1"/>
    </xf>
    <xf numFmtId="0" fontId="60" fillId="0" borderId="23" xfId="0" applyFont="1" applyBorder="1" applyAlignment="1" applyProtection="1">
      <alignment vertical="center" wrapText="1"/>
    </xf>
    <xf numFmtId="0" fontId="60" fillId="0" borderId="19" xfId="0" applyFont="1" applyBorder="1" applyAlignment="1" applyProtection="1">
      <alignment vertical="center" wrapText="1"/>
    </xf>
    <xf numFmtId="0" fontId="60" fillId="0" borderId="24" xfId="0" applyFont="1" applyBorder="1" applyAlignment="1" applyProtection="1">
      <alignment vertical="center" wrapText="1"/>
    </xf>
    <xf numFmtId="0" fontId="60" fillId="0" borderId="20" xfId="0" applyFont="1" applyBorder="1" applyAlignment="1" applyProtection="1">
      <alignment vertical="center" wrapText="1"/>
    </xf>
    <xf numFmtId="0" fontId="9" fillId="4" borderId="4" xfId="0" applyFont="1" applyFill="1" applyBorder="1" applyAlignment="1" applyProtection="1">
      <alignment vertical="center"/>
    </xf>
    <xf numFmtId="0" fontId="60" fillId="4" borderId="4" xfId="0" applyFont="1" applyFill="1" applyBorder="1" applyAlignment="1" applyProtection="1">
      <alignment vertical="center"/>
    </xf>
    <xf numFmtId="0" fontId="60" fillId="4" borderId="1" xfId="0" applyFont="1" applyFill="1" applyBorder="1" applyAlignment="1" applyProtection="1">
      <alignment vertical="center"/>
    </xf>
    <xf numFmtId="0" fontId="5" fillId="11" borderId="114" xfId="0" applyFont="1" applyFill="1" applyBorder="1" applyAlignment="1" applyProtection="1">
      <alignment horizontal="center" vertical="center" wrapText="1"/>
      <protection locked="0"/>
    </xf>
    <xf numFmtId="0" fontId="0" fillId="11" borderId="2" xfId="0" applyFill="1" applyBorder="1" applyAlignment="1" applyProtection="1">
      <alignment horizontal="center" vertical="center" wrapText="1"/>
      <protection locked="0"/>
    </xf>
    <xf numFmtId="0" fontId="0" fillId="11" borderId="115" xfId="0" applyFill="1" applyBorder="1" applyAlignment="1" applyProtection="1">
      <alignment horizontal="center" vertical="center" wrapText="1"/>
      <protection locked="0"/>
    </xf>
    <xf numFmtId="49" fontId="5" fillId="11" borderId="114" xfId="0" applyNumberFormat="1" applyFont="1" applyFill="1" applyBorder="1" applyAlignment="1" applyProtection="1">
      <alignment horizontal="center" vertical="center"/>
      <protection locked="0"/>
    </xf>
    <xf numFmtId="49" fontId="0" fillId="11" borderId="2" xfId="0" applyNumberFormat="1" applyFill="1" applyBorder="1" applyAlignment="1" applyProtection="1">
      <alignment horizontal="center" vertical="center"/>
      <protection locked="0"/>
    </xf>
    <xf numFmtId="49" fontId="0" fillId="11" borderId="115" xfId="0" applyNumberFormat="1" applyFill="1" applyBorder="1" applyAlignment="1" applyProtection="1">
      <alignment horizontal="center" vertical="center"/>
      <protection locked="0"/>
    </xf>
    <xf numFmtId="0" fontId="18" fillId="4" borderId="14" xfId="0" applyFont="1" applyFill="1" applyBorder="1" applyAlignment="1" applyProtection="1">
      <alignment vertical="center" shrinkToFit="1"/>
    </xf>
    <xf numFmtId="0" fontId="19" fillId="0" borderId="14" xfId="0" applyFont="1" applyBorder="1" applyAlignment="1" applyProtection="1">
      <alignment vertical="center" shrinkToFit="1"/>
    </xf>
    <xf numFmtId="0" fontId="18" fillId="4" borderId="14" xfId="0" applyFont="1" applyFill="1" applyBorder="1" applyAlignment="1" applyProtection="1">
      <alignment horizontal="center" vertical="center" shrinkToFit="1"/>
    </xf>
    <xf numFmtId="0" fontId="19" fillId="0" borderId="14" xfId="0" applyFont="1" applyBorder="1" applyAlignment="1" applyProtection="1">
      <alignment horizontal="center" vertical="center" shrinkToFit="1"/>
    </xf>
    <xf numFmtId="0" fontId="19" fillId="0" borderId="15" xfId="0" applyFont="1" applyBorder="1" applyAlignment="1" applyProtection="1">
      <alignment horizontal="center" vertical="center" shrinkToFit="1"/>
    </xf>
    <xf numFmtId="0" fontId="5" fillId="11" borderId="100" xfId="0" applyFont="1" applyFill="1" applyBorder="1" applyAlignment="1" applyProtection="1">
      <alignment vertical="center"/>
      <protection locked="0"/>
    </xf>
    <xf numFmtId="0" fontId="0" fillId="11" borderId="14" xfId="0" applyFill="1" applyBorder="1" applyAlignment="1" applyProtection="1">
      <alignment vertical="center"/>
      <protection locked="0"/>
    </xf>
    <xf numFmtId="0" fontId="0" fillId="11" borderId="101" xfId="0" applyFill="1" applyBorder="1" applyAlignment="1" applyProtection="1">
      <alignment vertical="center"/>
      <protection locked="0"/>
    </xf>
    <xf numFmtId="0" fontId="18" fillId="4" borderId="8" xfId="0" applyFont="1" applyFill="1" applyBorder="1" applyAlignment="1" applyProtection="1">
      <alignment vertical="center" shrinkToFit="1"/>
    </xf>
    <xf numFmtId="0" fontId="18" fillId="4" borderId="18" xfId="0" applyFont="1" applyFill="1" applyBorder="1" applyAlignment="1" applyProtection="1">
      <alignment horizontal="center" vertical="top" shrinkToFit="1"/>
    </xf>
    <xf numFmtId="0" fontId="18" fillId="0" borderId="4" xfId="0" applyFont="1" applyBorder="1" applyAlignment="1" applyProtection="1">
      <alignment vertical="top" shrinkToFit="1"/>
    </xf>
    <xf numFmtId="0" fontId="19" fillId="0" borderId="18" xfId="0" applyFont="1" applyBorder="1" applyAlignment="1" applyProtection="1">
      <alignment vertical="top" shrinkToFit="1"/>
    </xf>
    <xf numFmtId="0" fontId="19" fillId="0" borderId="4" xfId="0" applyFont="1" applyBorder="1" applyAlignment="1" applyProtection="1">
      <alignment vertical="top" shrinkToFit="1"/>
    </xf>
    <xf numFmtId="0" fontId="18" fillId="4" borderId="6" xfId="0" applyFont="1" applyFill="1" applyBorder="1" applyAlignment="1" applyProtection="1">
      <alignment vertical="center" shrinkToFit="1"/>
    </xf>
    <xf numFmtId="0" fontId="19" fillId="0" borderId="6" xfId="0" applyFont="1" applyBorder="1" applyAlignment="1" applyProtection="1">
      <alignment vertical="center" shrinkToFit="1"/>
    </xf>
    <xf numFmtId="0" fontId="18" fillId="4" borderId="6" xfId="0" applyFont="1" applyFill="1" applyBorder="1" applyAlignment="1" applyProtection="1">
      <alignment horizontal="center" vertical="center" shrinkToFit="1"/>
    </xf>
    <xf numFmtId="0" fontId="19" fillId="0" borderId="6" xfId="0" applyFont="1" applyBorder="1" applyAlignment="1" applyProtection="1">
      <alignment horizontal="center" vertical="center" shrinkToFit="1"/>
    </xf>
    <xf numFmtId="0" fontId="19" fillId="0" borderId="33" xfId="0" applyFont="1" applyBorder="1" applyAlignment="1" applyProtection="1">
      <alignment horizontal="center" vertical="center" shrinkToFit="1"/>
    </xf>
    <xf numFmtId="0" fontId="5" fillId="11" borderId="104" xfId="0" applyFont="1" applyFill="1" applyBorder="1" applyAlignment="1" applyProtection="1">
      <alignment vertical="center"/>
      <protection locked="0"/>
    </xf>
    <xf numFmtId="0" fontId="0" fillId="11" borderId="6" xfId="0" applyFill="1" applyBorder="1" applyAlignment="1" applyProtection="1">
      <alignment vertical="center"/>
      <protection locked="0"/>
    </xf>
    <xf numFmtId="0" fontId="0" fillId="11" borderId="105" xfId="0" applyFill="1" applyBorder="1" applyAlignment="1" applyProtection="1">
      <alignment vertical="center"/>
      <protection locked="0"/>
    </xf>
    <xf numFmtId="0" fontId="18" fillId="4" borderId="23" xfId="0" applyFont="1" applyFill="1" applyBorder="1" applyAlignment="1" applyProtection="1">
      <alignment vertical="center" shrinkToFit="1"/>
    </xf>
    <xf numFmtId="0" fontId="18" fillId="4" borderId="10" xfId="0" applyFont="1" applyFill="1" applyBorder="1" applyAlignment="1" applyProtection="1">
      <alignment vertical="top" shrinkToFit="1"/>
    </xf>
    <xf numFmtId="0" fontId="19" fillId="0" borderId="10" xfId="0" applyFont="1" applyBorder="1" applyAlignment="1" applyProtection="1">
      <alignment vertical="top" shrinkToFit="1"/>
    </xf>
    <xf numFmtId="0" fontId="19" fillId="0" borderId="14" xfId="0" applyFont="1" applyBorder="1" applyAlignment="1" applyProtection="1">
      <alignment vertical="top" shrinkToFit="1"/>
    </xf>
    <xf numFmtId="0" fontId="5" fillId="11" borderId="108" xfId="0" applyFont="1" applyFill="1" applyBorder="1" applyAlignment="1" applyProtection="1">
      <alignment vertical="center"/>
      <protection locked="0"/>
    </xf>
    <xf numFmtId="0" fontId="0" fillId="11" borderId="109" xfId="0" applyFill="1" applyBorder="1" applyAlignment="1" applyProtection="1">
      <alignment vertical="center"/>
      <protection locked="0"/>
    </xf>
    <xf numFmtId="0" fontId="0" fillId="11" borderId="110" xfId="0" applyFill="1" applyBorder="1" applyAlignment="1" applyProtection="1">
      <alignment vertical="center"/>
      <protection locked="0"/>
    </xf>
    <xf numFmtId="0" fontId="18" fillId="4" borderId="10" xfId="0" applyFont="1" applyFill="1" applyBorder="1" applyAlignment="1" applyProtection="1">
      <alignment vertical="center" shrinkToFit="1"/>
    </xf>
    <xf numFmtId="0" fontId="19" fillId="0" borderId="10" xfId="0" applyFont="1" applyBorder="1" applyAlignment="1" applyProtection="1">
      <alignment vertical="center" shrinkToFit="1"/>
    </xf>
    <xf numFmtId="0" fontId="18" fillId="4" borderId="10" xfId="0" applyFont="1" applyFill="1" applyBorder="1" applyAlignment="1" applyProtection="1">
      <alignment horizontal="center" vertical="center" shrinkToFit="1"/>
    </xf>
    <xf numFmtId="0" fontId="19" fillId="0" borderId="10" xfId="0" applyFont="1" applyBorder="1" applyAlignment="1" applyProtection="1">
      <alignment horizontal="center" vertical="center" shrinkToFit="1"/>
    </xf>
    <xf numFmtId="0" fontId="19" fillId="0" borderId="11" xfId="0" applyFont="1" applyBorder="1" applyAlignment="1" applyProtection="1">
      <alignment horizontal="center" vertical="center" shrinkToFit="1"/>
    </xf>
    <xf numFmtId="0" fontId="5" fillId="11" borderId="102" xfId="0" applyFont="1" applyFill="1" applyBorder="1" applyAlignment="1" applyProtection="1">
      <alignment vertical="center"/>
      <protection locked="0"/>
    </xf>
    <xf numFmtId="0" fontId="0" fillId="11" borderId="10" xfId="0" applyFill="1" applyBorder="1" applyAlignment="1" applyProtection="1">
      <alignment vertical="center"/>
      <protection locked="0"/>
    </xf>
    <xf numFmtId="0" fontId="0" fillId="11" borderId="103" xfId="0" applyFill="1" applyBorder="1" applyAlignment="1" applyProtection="1">
      <alignment vertical="center"/>
      <protection locked="0"/>
    </xf>
    <xf numFmtId="0" fontId="18" fillId="4" borderId="12" xfId="0" applyFont="1" applyFill="1" applyBorder="1" applyAlignment="1" applyProtection="1">
      <alignment vertical="center" shrinkToFit="1"/>
    </xf>
    <xf numFmtId="0" fontId="5" fillId="11" borderId="89" xfId="0" applyFont="1" applyFill="1" applyBorder="1" applyAlignment="1" applyProtection="1">
      <alignment vertical="center"/>
      <protection locked="0"/>
    </xf>
    <xf numFmtId="0" fontId="0" fillId="11" borderId="90" xfId="0" applyFill="1" applyBorder="1" applyAlignment="1" applyProtection="1">
      <alignment vertical="center"/>
      <protection locked="0"/>
    </xf>
    <xf numFmtId="0" fontId="0" fillId="11" borderId="91" xfId="0" applyFill="1" applyBorder="1" applyAlignment="1" applyProtection="1">
      <alignment vertical="center"/>
      <protection locked="0"/>
    </xf>
    <xf numFmtId="0" fontId="19" fillId="0" borderId="10" xfId="0" applyFont="1" applyBorder="1" applyAlignment="1" applyProtection="1">
      <alignment horizontal="center" vertical="top" shrinkToFit="1"/>
    </xf>
    <xf numFmtId="0" fontId="19" fillId="0" borderId="11" xfId="0" applyFont="1" applyBorder="1" applyAlignment="1" applyProtection="1">
      <alignment horizontal="center" vertical="top" shrinkToFit="1"/>
    </xf>
    <xf numFmtId="0" fontId="5" fillId="11" borderId="140" xfId="0" applyFont="1" applyFill="1" applyBorder="1" applyAlignment="1" applyProtection="1">
      <alignment horizontal="right" wrapText="1"/>
      <protection locked="0"/>
    </xf>
    <xf numFmtId="0" fontId="0" fillId="11" borderId="141" xfId="0" applyFill="1" applyBorder="1" applyAlignment="1" applyProtection="1">
      <alignment horizontal="right"/>
      <protection locked="0"/>
    </xf>
    <xf numFmtId="0" fontId="0" fillId="11" borderId="142" xfId="0" applyFill="1" applyBorder="1" applyAlignment="1" applyProtection="1">
      <alignment horizontal="right"/>
      <protection locked="0"/>
    </xf>
    <xf numFmtId="0" fontId="2" fillId="0" borderId="10" xfId="0" applyFont="1" applyBorder="1" applyAlignment="1" applyProtection="1">
      <alignment vertical="center" shrinkToFit="1"/>
    </xf>
    <xf numFmtId="0" fontId="18" fillId="4" borderId="14" xfId="0" applyFont="1" applyFill="1" applyBorder="1" applyAlignment="1" applyProtection="1">
      <alignment vertical="top" shrinkToFit="1"/>
    </xf>
    <xf numFmtId="0" fontId="18" fillId="4" borderId="14" xfId="0" applyFont="1" applyFill="1" applyBorder="1" applyAlignment="1" applyProtection="1">
      <alignment horizontal="center" vertical="top" shrinkToFit="1"/>
    </xf>
    <xf numFmtId="0" fontId="19" fillId="0" borderId="14" xfId="0" applyFont="1" applyBorder="1" applyAlignment="1" applyProtection="1">
      <alignment horizontal="center" vertical="top" shrinkToFit="1"/>
    </xf>
    <xf numFmtId="0" fontId="0" fillId="4" borderId="33" xfId="0" applyFill="1" applyBorder="1" applyAlignment="1" applyProtection="1">
      <alignment horizontal="left" vertical="center"/>
    </xf>
    <xf numFmtId="0" fontId="0" fillId="4" borderId="0" xfId="0" applyFill="1" applyBorder="1" applyAlignment="1" applyProtection="1">
      <alignment horizontal="left" vertical="center"/>
    </xf>
    <xf numFmtId="0" fontId="0" fillId="4" borderId="23" xfId="0" applyFill="1" applyBorder="1" applyAlignment="1" applyProtection="1">
      <alignment horizontal="left" vertical="center"/>
    </xf>
    <xf numFmtId="0" fontId="18" fillId="4" borderId="14" xfId="0" applyFont="1" applyFill="1" applyBorder="1" applyAlignment="1" applyProtection="1">
      <alignment vertical="center" wrapText="1" shrinkToFit="1"/>
    </xf>
    <xf numFmtId="0" fontId="18" fillId="0" borderId="14" xfId="0" applyFont="1" applyBorder="1" applyAlignment="1" applyProtection="1">
      <alignment vertical="center" wrapText="1" shrinkToFit="1"/>
    </xf>
    <xf numFmtId="0" fontId="19" fillId="0" borderId="14" xfId="0" applyFont="1" applyBorder="1" applyAlignment="1" applyProtection="1">
      <alignment vertical="center" wrapText="1"/>
    </xf>
    <xf numFmtId="0" fontId="18" fillId="4" borderId="9" xfId="0" applyFont="1" applyFill="1" applyBorder="1" applyAlignment="1" applyProtection="1">
      <alignment horizontal="center" vertical="top" shrinkToFit="1"/>
    </xf>
    <xf numFmtId="0" fontId="0" fillId="0" borderId="13" xfId="0" applyBorder="1" applyAlignment="1" applyProtection="1">
      <alignment vertical="top" shrinkToFit="1"/>
    </xf>
    <xf numFmtId="0" fontId="18" fillId="4" borderId="16" xfId="0" applyFont="1" applyFill="1" applyBorder="1" applyAlignment="1" applyProtection="1">
      <alignment vertical="top" shrinkToFit="1"/>
    </xf>
    <xf numFmtId="0" fontId="5" fillId="0" borderId="34" xfId="0" applyFont="1" applyBorder="1" applyAlignment="1" applyProtection="1">
      <alignment vertical="top" shrinkToFit="1"/>
    </xf>
    <xf numFmtId="0" fontId="5" fillId="0" borderId="17" xfId="0" applyFont="1" applyBorder="1" applyAlignment="1" applyProtection="1">
      <alignment vertical="top" shrinkToFit="1"/>
    </xf>
    <xf numFmtId="0" fontId="5" fillId="0" borderId="35" xfId="0" applyFont="1" applyBorder="1" applyAlignment="1" applyProtection="1">
      <alignment vertical="top" shrinkToFit="1"/>
    </xf>
    <xf numFmtId="0" fontId="5" fillId="0" borderId="36" xfId="0" applyFont="1" applyBorder="1" applyAlignment="1" applyProtection="1">
      <alignment vertical="top" shrinkToFit="1"/>
    </xf>
    <xf numFmtId="0" fontId="5" fillId="0" borderId="37" xfId="0" applyFont="1" applyBorder="1" applyAlignment="1" applyProtection="1">
      <alignment vertical="top" shrinkToFit="1"/>
    </xf>
    <xf numFmtId="0" fontId="18" fillId="4" borderId="9" xfId="0" applyFont="1" applyFill="1" applyBorder="1" applyAlignment="1" applyProtection="1">
      <alignment vertical="center" shrinkToFit="1"/>
    </xf>
    <xf numFmtId="0" fontId="0" fillId="0" borderId="9" xfId="0" applyBorder="1" applyAlignment="1" applyProtection="1">
      <alignment vertical="center"/>
    </xf>
    <xf numFmtId="176" fontId="18" fillId="4" borderId="9" xfId="0" applyNumberFormat="1" applyFont="1" applyFill="1" applyBorder="1" applyAlignment="1" applyProtection="1">
      <alignment horizontal="center" vertical="center" shrinkToFit="1"/>
    </xf>
    <xf numFmtId="0" fontId="0" fillId="0" borderId="9" xfId="0" applyBorder="1" applyAlignment="1" applyProtection="1">
      <alignment horizontal="center" vertical="center"/>
    </xf>
    <xf numFmtId="0" fontId="0" fillId="0" borderId="16" xfId="0" applyBorder="1" applyAlignment="1" applyProtection="1">
      <alignment horizontal="center" vertical="center"/>
    </xf>
    <xf numFmtId="0" fontId="5" fillId="11" borderId="96" xfId="0" applyFont="1" applyFill="1" applyBorder="1" applyAlignment="1" applyProtection="1">
      <alignment vertical="center"/>
      <protection locked="0"/>
    </xf>
    <xf numFmtId="0" fontId="0" fillId="11" borderId="9" xfId="0" applyFill="1" applyBorder="1" applyAlignment="1" applyProtection="1">
      <alignment vertical="center"/>
      <protection locked="0"/>
    </xf>
    <xf numFmtId="0" fontId="0" fillId="11" borderId="97" xfId="0" applyFill="1" applyBorder="1" applyAlignment="1" applyProtection="1">
      <alignment vertical="center"/>
      <protection locked="0"/>
    </xf>
    <xf numFmtId="0" fontId="18" fillId="4" borderId="17" xfId="0" applyFont="1" applyFill="1" applyBorder="1" applyAlignment="1" applyProtection="1">
      <alignment vertical="center" shrinkToFit="1"/>
    </xf>
    <xf numFmtId="0" fontId="19" fillId="0" borderId="9" xfId="0" applyFont="1" applyBorder="1" applyAlignment="1" applyProtection="1">
      <alignment vertical="center"/>
    </xf>
    <xf numFmtId="0" fontId="18" fillId="4" borderId="13" xfId="0" applyFont="1" applyFill="1" applyBorder="1" applyAlignment="1" applyProtection="1">
      <alignment vertical="center" shrinkToFit="1"/>
    </xf>
    <xf numFmtId="0" fontId="0" fillId="0" borderId="13" xfId="0" applyBorder="1" applyAlignment="1" applyProtection="1">
      <alignment vertical="center"/>
    </xf>
    <xf numFmtId="0" fontId="18" fillId="4" borderId="13" xfId="0" applyFont="1" applyFill="1" applyBorder="1" applyAlignment="1" applyProtection="1">
      <alignment horizontal="center" vertical="center" shrinkToFit="1"/>
    </xf>
    <xf numFmtId="0" fontId="0" fillId="0" borderId="13" xfId="0" applyBorder="1" applyAlignment="1" applyProtection="1">
      <alignment horizontal="center" vertical="center"/>
    </xf>
    <xf numFmtId="0" fontId="0" fillId="0" borderId="35" xfId="0" applyBorder="1" applyAlignment="1" applyProtection="1">
      <alignment horizontal="center" vertical="center"/>
    </xf>
    <xf numFmtId="0" fontId="5" fillId="11" borderId="98" xfId="0" applyFont="1" applyFill="1" applyBorder="1" applyAlignment="1" applyProtection="1">
      <alignment vertical="center"/>
      <protection locked="0"/>
    </xf>
    <xf numFmtId="0" fontId="0" fillId="11" borderId="13" xfId="0" applyFill="1" applyBorder="1" applyAlignment="1" applyProtection="1">
      <alignment vertical="center"/>
      <protection locked="0"/>
    </xf>
    <xf numFmtId="0" fontId="0" fillId="11" borderId="99" xfId="0" applyFill="1" applyBorder="1" applyAlignment="1" applyProtection="1">
      <alignment vertical="center"/>
      <protection locked="0"/>
    </xf>
    <xf numFmtId="0" fontId="18" fillId="4" borderId="37" xfId="0" applyFont="1" applyFill="1" applyBorder="1" applyAlignment="1" applyProtection="1">
      <alignment vertical="center" shrinkToFit="1"/>
    </xf>
    <xf numFmtId="0" fontId="19" fillId="0" borderId="13" xfId="0" applyFont="1" applyBorder="1" applyAlignment="1" applyProtection="1">
      <alignment vertical="center"/>
    </xf>
    <xf numFmtId="0" fontId="5" fillId="11" borderId="76" xfId="0" applyFont="1" applyFill="1" applyBorder="1" applyAlignment="1" applyProtection="1">
      <alignment vertical="center"/>
      <protection locked="0"/>
    </xf>
    <xf numFmtId="0" fontId="0" fillId="11" borderId="88" xfId="0" applyFill="1" applyBorder="1" applyAlignment="1" applyProtection="1">
      <alignment vertical="center"/>
      <protection locked="0"/>
    </xf>
    <xf numFmtId="0" fontId="0" fillId="11" borderId="73" xfId="0" applyFill="1" applyBorder="1" applyAlignment="1" applyProtection="1">
      <alignment vertical="center"/>
      <protection locked="0"/>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5" fillId="0" borderId="4" xfId="0" applyFont="1" applyBorder="1" applyAlignment="1" applyProtection="1">
      <alignment horizontal="center" vertical="center"/>
    </xf>
    <xf numFmtId="0" fontId="18" fillId="4" borderId="4" xfId="0" applyFont="1" applyFill="1" applyBorder="1" applyAlignment="1" applyProtection="1">
      <alignment horizontal="center" vertical="top" shrinkToFit="1"/>
    </xf>
    <xf numFmtId="0" fontId="18" fillId="0" borderId="5" xfId="0" applyFont="1" applyBorder="1" applyAlignment="1" applyProtection="1">
      <alignment vertical="top" shrinkToFit="1"/>
    </xf>
    <xf numFmtId="0" fontId="18" fillId="4" borderId="4" xfId="0" applyFont="1" applyFill="1" applyBorder="1" applyAlignment="1" applyProtection="1">
      <alignment vertical="top" shrinkToFit="1"/>
    </xf>
    <xf numFmtId="0" fontId="19" fillId="0" borderId="5" xfId="0" applyFont="1" applyBorder="1" applyAlignment="1" applyProtection="1">
      <alignment vertical="top" shrinkToFit="1"/>
    </xf>
    <xf numFmtId="0" fontId="18" fillId="4" borderId="5" xfId="0" applyFont="1" applyFill="1" applyBorder="1" applyAlignment="1" applyProtection="1">
      <alignment vertical="center" shrinkToFit="1"/>
    </xf>
    <xf numFmtId="0" fontId="19" fillId="0" borderId="5" xfId="0" applyFont="1" applyBorder="1" applyAlignment="1" applyProtection="1">
      <alignment vertical="center" shrinkToFit="1"/>
    </xf>
    <xf numFmtId="0" fontId="18" fillId="4" borderId="5" xfId="0" applyFont="1" applyFill="1" applyBorder="1" applyAlignment="1" applyProtection="1">
      <alignment horizontal="center" vertical="center" shrinkToFit="1"/>
    </xf>
    <xf numFmtId="0" fontId="19" fillId="0" borderId="5" xfId="0" applyFont="1" applyBorder="1" applyAlignment="1" applyProtection="1">
      <alignment horizontal="center" vertical="center" shrinkToFit="1"/>
    </xf>
    <xf numFmtId="0" fontId="19" fillId="0" borderId="7" xfId="0" applyFont="1" applyBorder="1" applyAlignment="1" applyProtection="1">
      <alignment horizontal="center" vertical="center" shrinkToFit="1"/>
    </xf>
    <xf numFmtId="0" fontId="5" fillId="11" borderId="94" xfId="0" applyFont="1" applyFill="1" applyBorder="1" applyAlignment="1" applyProtection="1">
      <alignment vertical="center"/>
      <protection locked="0"/>
    </xf>
    <xf numFmtId="0" fontId="0" fillId="11" borderId="5" xfId="0" applyFill="1" applyBorder="1" applyAlignment="1" applyProtection="1">
      <alignment vertical="center"/>
      <protection locked="0"/>
    </xf>
    <xf numFmtId="0" fontId="0" fillId="11" borderId="95" xfId="0" applyFill="1" applyBorder="1" applyAlignment="1" applyProtection="1">
      <alignment vertical="center"/>
      <protection locked="0"/>
    </xf>
    <xf numFmtId="0" fontId="18" fillId="4" borderId="22" xfId="0" applyFont="1" applyFill="1" applyBorder="1" applyAlignment="1" applyProtection="1">
      <alignment vertical="center" shrinkToFit="1"/>
    </xf>
    <xf numFmtId="0" fontId="15" fillId="0" borderId="0" xfId="1" applyAlignment="1" applyProtection="1">
      <alignment vertical="center" wrapText="1"/>
    </xf>
    <xf numFmtId="0" fontId="49" fillId="0" borderId="0" xfId="1" applyFont="1" applyBorder="1" applyAlignment="1" applyProtection="1">
      <alignment horizontal="center" vertical="center"/>
    </xf>
    <xf numFmtId="0" fontId="0" fillId="4" borderId="1" xfId="0" applyFill="1" applyBorder="1" applyAlignment="1" applyProtection="1">
      <alignment horizontal="left" vertical="center"/>
    </xf>
    <xf numFmtId="0" fontId="0" fillId="4" borderId="2" xfId="0" applyFill="1" applyBorder="1" applyAlignment="1" applyProtection="1">
      <alignment horizontal="left" vertical="center"/>
    </xf>
    <xf numFmtId="0" fontId="0" fillId="4" borderId="3" xfId="0" applyFill="1" applyBorder="1" applyAlignment="1" applyProtection="1">
      <alignment horizontal="left" vertical="center"/>
    </xf>
    <xf numFmtId="0" fontId="15" fillId="0" borderId="60" xfId="1" applyBorder="1" applyAlignment="1" applyProtection="1">
      <alignment vertical="center" wrapText="1"/>
    </xf>
    <xf numFmtId="0" fontId="15" fillId="0" borderId="61" xfId="1" applyBorder="1" applyAlignment="1" applyProtection="1">
      <alignment vertical="center" wrapText="1"/>
    </xf>
    <xf numFmtId="0" fontId="15" fillId="0" borderId="62" xfId="1" applyBorder="1" applyAlignment="1" applyProtection="1">
      <alignment vertical="center" wrapText="1"/>
    </xf>
    <xf numFmtId="0" fontId="15" fillId="0" borderId="63" xfId="1" applyBorder="1" applyAlignment="1" applyProtection="1">
      <alignment vertical="center" wrapText="1"/>
    </xf>
    <xf numFmtId="0" fontId="15" fillId="0" borderId="0" xfId="1" applyBorder="1" applyAlignment="1" applyProtection="1">
      <alignment vertical="center" wrapText="1"/>
    </xf>
    <xf numFmtId="0" fontId="15" fillId="0" borderId="64" xfId="1" applyBorder="1" applyAlignment="1" applyProtection="1">
      <alignment vertical="center" wrapText="1"/>
    </xf>
    <xf numFmtId="0" fontId="15" fillId="0" borderId="65" xfId="1" applyBorder="1" applyAlignment="1" applyProtection="1">
      <alignment vertical="center" wrapText="1"/>
    </xf>
    <xf numFmtId="0" fontId="15" fillId="0" borderId="66" xfId="1" applyBorder="1" applyAlignment="1" applyProtection="1">
      <alignment vertical="center" wrapText="1"/>
    </xf>
    <xf numFmtId="0" fontId="15" fillId="0" borderId="67" xfId="1" applyBorder="1" applyAlignment="1" applyProtection="1">
      <alignment vertical="center" wrapText="1"/>
    </xf>
  </cellXfs>
  <cellStyles count="3">
    <cellStyle name="ハイパーリンク" xfId="2" builtinId="8"/>
    <cellStyle name="標準" xfId="0" builtinId="0"/>
    <cellStyle name="標準 2" xfId="1"/>
  </cellStyles>
  <dxfs count="263">
    <dxf>
      <font>
        <color rgb="FFFF0000"/>
      </font>
    </dxf>
    <dxf>
      <font>
        <color theme="0"/>
      </font>
      <fill>
        <patternFill>
          <bgColor rgb="FFFF0000"/>
        </patternFill>
      </fill>
    </dxf>
    <dxf>
      <font>
        <color rgb="FFFF0000"/>
      </font>
    </dxf>
    <dxf>
      <font>
        <color theme="0"/>
      </font>
      <fill>
        <patternFill>
          <bgColor rgb="FFFF0000"/>
        </patternFill>
      </fill>
    </dxf>
    <dxf>
      <font>
        <color theme="0"/>
      </font>
      <fill>
        <patternFill>
          <bgColor rgb="FFFF0000"/>
        </patternFill>
      </fill>
    </dxf>
    <dxf>
      <font>
        <color rgb="FFFF0000"/>
      </font>
    </dxf>
    <dxf>
      <font>
        <color theme="0"/>
      </font>
      <fill>
        <patternFill>
          <bgColor rgb="FFFF0000"/>
        </patternFill>
      </fill>
    </dxf>
    <dxf>
      <font>
        <color theme="0"/>
      </font>
      <fill>
        <patternFill>
          <bgColor rgb="FFFF0000"/>
        </patternFill>
      </fill>
    </dxf>
    <dxf>
      <font>
        <color rgb="FFFF0000"/>
      </font>
    </dxf>
    <dxf>
      <font>
        <color theme="0"/>
      </font>
      <fill>
        <patternFill>
          <bgColor rgb="FFFF0000"/>
        </patternFill>
      </fill>
    </dxf>
    <dxf>
      <font>
        <color theme="0"/>
      </font>
      <fill>
        <patternFill>
          <bgColor rgb="FFFF0000"/>
        </patternFill>
      </fill>
    </dxf>
    <dxf>
      <font>
        <color rgb="FFFF000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theme="0"/>
      </font>
      <fill>
        <patternFill>
          <bgColor rgb="FFFF0000"/>
        </patternFill>
      </fill>
    </dxf>
    <dxf>
      <font>
        <color rgb="FFFF0000"/>
      </font>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CCFFCC"/>
        </patternFill>
      </fill>
    </dxf>
    <dxf>
      <fill>
        <patternFill>
          <bgColor rgb="FF66FF66"/>
        </patternFill>
      </fill>
    </dxf>
    <dxf>
      <fill>
        <patternFill>
          <bgColor rgb="FFCCFFCC"/>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CCFFCC"/>
        </patternFill>
      </fill>
    </dxf>
    <dxf>
      <fill>
        <patternFill>
          <bgColor rgb="FF66FF66"/>
        </patternFill>
      </fill>
    </dxf>
    <dxf>
      <fill>
        <patternFill>
          <bgColor rgb="FFCCFFCC"/>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CCFFCC"/>
        </patternFill>
      </fill>
    </dxf>
    <dxf>
      <fill>
        <patternFill>
          <bgColor rgb="FF66FF66"/>
        </patternFill>
      </fill>
    </dxf>
    <dxf>
      <fill>
        <patternFill>
          <bgColor rgb="FF66FF66"/>
        </patternFill>
      </fill>
    </dxf>
    <dxf>
      <fill>
        <patternFill>
          <bgColor rgb="FFCCFFCC"/>
        </patternFill>
      </fill>
    </dxf>
    <dxf>
      <fill>
        <patternFill>
          <bgColor rgb="FF66FF66"/>
        </patternFill>
      </fill>
    </dxf>
    <dxf>
      <fill>
        <patternFill>
          <bgColor rgb="FFCCFFCC"/>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theme="0" tint="-0.14996795556505021"/>
        </patternFill>
      </fill>
    </dxf>
    <dxf>
      <fill>
        <patternFill>
          <bgColor theme="0" tint="-0.14996795556505021"/>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theme="0" tint="-0.14996795556505021"/>
        </patternFill>
      </fill>
    </dxf>
    <dxf>
      <fill>
        <patternFill>
          <bgColor rgb="FF66FF66"/>
        </patternFill>
      </fill>
    </dxf>
    <dxf>
      <fill>
        <patternFill>
          <bgColor rgb="FF66FF66"/>
        </patternFill>
      </fill>
    </dxf>
    <dxf>
      <fill>
        <patternFill>
          <bgColor theme="0" tint="-0.14996795556505021"/>
        </patternFill>
      </fill>
    </dxf>
    <dxf>
      <fill>
        <patternFill>
          <bgColor rgb="FF66FF66"/>
        </patternFill>
      </fill>
    </dxf>
    <dxf>
      <fill>
        <patternFill>
          <bgColor rgb="FF66FF66"/>
        </patternFill>
      </fill>
    </dxf>
    <dxf>
      <font>
        <color theme="0"/>
      </font>
      <fill>
        <patternFill>
          <bgColor rgb="FFFF0000"/>
        </patternFill>
      </fill>
    </dxf>
    <dxf>
      <fill>
        <patternFill>
          <bgColor theme="0" tint="-0.14996795556505021"/>
        </patternFill>
      </fill>
    </dxf>
    <dxf>
      <fill>
        <patternFill>
          <bgColor theme="0" tint="-0.14996795556505021"/>
        </patternFill>
      </fill>
    </dxf>
    <dxf>
      <fill>
        <patternFill>
          <bgColor rgb="FF66FF66"/>
        </patternFill>
      </fill>
    </dxf>
    <dxf>
      <font>
        <color rgb="FFFF0000"/>
      </font>
      <fill>
        <patternFill patternType="none">
          <bgColor auto="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fill>
        <patternFill>
          <bgColor theme="9" tint="0.79998168889431442"/>
        </patternFill>
      </fill>
    </dxf>
    <dxf>
      <font>
        <color theme="0"/>
      </font>
      <fill>
        <patternFill>
          <bgColor rgb="FFFF0000"/>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ont>
        <color rgb="FFFF0000"/>
      </font>
    </dxf>
    <dxf>
      <font>
        <color theme="0"/>
      </font>
      <fill>
        <patternFill>
          <bgColor rgb="FFFF0000"/>
        </patternFill>
      </fill>
    </dxf>
    <dxf>
      <font>
        <color rgb="FFFF0000"/>
      </font>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CCFFCC"/>
        </patternFill>
      </fill>
    </dxf>
    <dxf>
      <fill>
        <patternFill>
          <bgColor rgb="FF66FF66"/>
        </patternFill>
      </fill>
    </dxf>
    <dxf>
      <fill>
        <patternFill>
          <bgColor rgb="FFCCFFCC"/>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CCFFCC"/>
        </patternFill>
      </fill>
    </dxf>
    <dxf>
      <fill>
        <patternFill>
          <bgColor rgb="FF66FF66"/>
        </patternFill>
      </fill>
    </dxf>
    <dxf>
      <fill>
        <patternFill>
          <bgColor rgb="FFCCFFCC"/>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CCFFCC"/>
        </patternFill>
      </fill>
    </dxf>
    <dxf>
      <fill>
        <patternFill>
          <bgColor rgb="FF66FF66"/>
        </patternFill>
      </fill>
    </dxf>
    <dxf>
      <fill>
        <patternFill>
          <bgColor rgb="FF66FF66"/>
        </patternFill>
      </fill>
    </dxf>
    <dxf>
      <fill>
        <patternFill>
          <bgColor rgb="FFCCFFCC"/>
        </patternFill>
      </fill>
    </dxf>
    <dxf>
      <fill>
        <patternFill>
          <bgColor rgb="FF66FF66"/>
        </patternFill>
      </fill>
    </dxf>
    <dxf>
      <fill>
        <patternFill>
          <bgColor rgb="FFCCFFCC"/>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theme="0" tint="-0.14996795556505021"/>
        </patternFill>
      </fill>
    </dxf>
    <dxf>
      <fill>
        <patternFill>
          <bgColor theme="0" tint="-0.14996795556505021"/>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rgb="FF66FF66"/>
        </patternFill>
      </fill>
    </dxf>
    <dxf>
      <fill>
        <patternFill>
          <bgColor theme="0" tint="-0.14996795556505021"/>
        </patternFill>
      </fill>
    </dxf>
    <dxf>
      <fill>
        <patternFill>
          <bgColor rgb="FF66FF66"/>
        </patternFill>
      </fill>
    </dxf>
    <dxf>
      <fill>
        <patternFill>
          <bgColor rgb="FF66FF66"/>
        </patternFill>
      </fill>
    </dxf>
    <dxf>
      <fill>
        <patternFill>
          <bgColor theme="0" tint="-0.14996795556505021"/>
        </patternFill>
      </fill>
    </dxf>
    <dxf>
      <fill>
        <patternFill>
          <bgColor rgb="FF66FF66"/>
        </patternFill>
      </fill>
    </dxf>
    <dxf>
      <fill>
        <patternFill>
          <bgColor rgb="FF66FF66"/>
        </patternFill>
      </fill>
    </dxf>
    <dxf>
      <font>
        <color theme="0"/>
      </font>
      <fill>
        <patternFill>
          <bgColor rgb="FFFF0000"/>
        </patternFill>
      </fill>
    </dxf>
    <dxf>
      <fill>
        <patternFill>
          <bgColor theme="0" tint="-0.14996795556505021"/>
        </patternFill>
      </fill>
    </dxf>
    <dxf>
      <fill>
        <patternFill>
          <bgColor theme="0" tint="-0.14996795556505021"/>
        </patternFill>
      </fill>
    </dxf>
    <dxf>
      <fill>
        <patternFill>
          <bgColor rgb="FF66FF66"/>
        </patternFill>
      </fill>
    </dxf>
    <dxf>
      <font>
        <color rgb="FFFF0000"/>
      </font>
      <fill>
        <patternFill patternType="none">
          <bgColor auto="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fill>
        <patternFill>
          <bgColor theme="9" tint="0.79998168889431442"/>
        </patternFill>
      </fill>
    </dxf>
    <dxf>
      <font>
        <color theme="0"/>
      </font>
      <fill>
        <patternFill>
          <bgColor rgb="FFFF0000"/>
        </patternFill>
      </fill>
    </dxf>
  </dxfs>
  <tableStyles count="0" defaultTableStyle="TableStyleMedium2" defaultPivotStyle="PivotStyleLight16"/>
  <colors>
    <mruColors>
      <color rgb="FF66FF66"/>
      <color rgb="FFCCFFCC"/>
      <color rgb="FF0000FF"/>
      <color rgb="FF008000"/>
      <color rgb="FF99FF99"/>
      <color rgb="FFCCFF99"/>
      <color rgb="FFCCFFF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12</xdr:col>
      <xdr:colOff>71155</xdr:colOff>
      <xdr:row>1</xdr:row>
      <xdr:rowOff>80207</xdr:rowOff>
    </xdr:from>
    <xdr:to>
      <xdr:col>21</xdr:col>
      <xdr:colOff>449915</xdr:colOff>
      <xdr:row>23</xdr:row>
      <xdr:rowOff>349753</xdr:rowOff>
    </xdr:to>
    <xdr:grpSp>
      <xdr:nvGrpSpPr>
        <xdr:cNvPr id="34" name="グループ化 33"/>
        <xdr:cNvGrpSpPr/>
      </xdr:nvGrpSpPr>
      <xdr:grpSpPr>
        <a:xfrm>
          <a:off x="10923305" y="245307"/>
          <a:ext cx="11421410" cy="7451396"/>
          <a:chOff x="11658037" y="248295"/>
          <a:chExt cx="12413878" cy="6928500"/>
        </a:xfrm>
      </xdr:grpSpPr>
      <xdr:pic>
        <xdr:nvPicPr>
          <xdr:cNvPr id="6" name="図 5"/>
          <xdr:cNvPicPr>
            <a:picLocks noChangeAspect="1"/>
          </xdr:cNvPicPr>
        </xdr:nvPicPr>
        <xdr:blipFill rotWithShape="1">
          <a:blip xmlns:r="http://schemas.openxmlformats.org/officeDocument/2006/relationships" r:embed="rId1"/>
          <a:srcRect l="5366" t="17317" r="55984" b="31658"/>
          <a:stretch/>
        </xdr:blipFill>
        <xdr:spPr>
          <a:xfrm>
            <a:off x="17002122" y="1177279"/>
            <a:ext cx="7022167" cy="5624863"/>
          </a:xfrm>
          <a:prstGeom prst="rect">
            <a:avLst/>
          </a:prstGeom>
        </xdr:spPr>
      </xdr:pic>
      <xdr:pic>
        <xdr:nvPicPr>
          <xdr:cNvPr id="7" name="図 6"/>
          <xdr:cNvPicPr>
            <a:picLocks noChangeAspect="1"/>
          </xdr:cNvPicPr>
        </xdr:nvPicPr>
        <xdr:blipFill rotWithShape="1">
          <a:blip xmlns:r="http://schemas.openxmlformats.org/officeDocument/2006/relationships" r:embed="rId2"/>
          <a:srcRect l="7449" t="20929" r="64005" b="32677"/>
          <a:stretch/>
        </xdr:blipFill>
        <xdr:spPr>
          <a:xfrm>
            <a:off x="11658037" y="1177279"/>
            <a:ext cx="5258361" cy="5305558"/>
          </a:xfrm>
          <a:prstGeom prst="rect">
            <a:avLst/>
          </a:prstGeom>
        </xdr:spPr>
      </xdr:pic>
      <xdr:sp macro="" textlink="">
        <xdr:nvSpPr>
          <xdr:cNvPr id="8" name="正方形/長方形 7"/>
          <xdr:cNvSpPr/>
        </xdr:nvSpPr>
        <xdr:spPr>
          <a:xfrm>
            <a:off x="14878048" y="5695386"/>
            <a:ext cx="1355912" cy="185200"/>
          </a:xfrm>
          <a:prstGeom prst="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4878048" y="5912810"/>
            <a:ext cx="1355912" cy="188929"/>
          </a:xfrm>
          <a:prstGeom prst="rect">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1862545" y="4874636"/>
            <a:ext cx="2996453" cy="262181"/>
          </a:xfrm>
          <a:prstGeom prst="rect">
            <a:avLst/>
          </a:prstGeom>
          <a:solidFill>
            <a:srgbClr val="FFFF00"/>
          </a:solidFill>
          <a:ln w="2540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b="1">
                <a:solidFill>
                  <a:srgbClr val="0000FF"/>
                </a:solidFill>
              </a:rPr>
              <a:t>出力制御ユニット・監視装置製造番号です。</a:t>
            </a:r>
            <a:endParaRPr kumimoji="1" lang="en-US" altLang="ja-JP" sz="1100" b="1">
              <a:solidFill>
                <a:srgbClr val="0000FF"/>
              </a:solidFill>
            </a:endParaRPr>
          </a:p>
        </xdr:txBody>
      </xdr:sp>
      <xdr:cxnSp macro="">
        <xdr:nvCxnSpPr>
          <xdr:cNvPr id="11" name="直線矢印コネクタ 10"/>
          <xdr:cNvCxnSpPr/>
        </xdr:nvCxnSpPr>
        <xdr:spPr>
          <a:xfrm>
            <a:off x="14631518" y="5188875"/>
            <a:ext cx="237005" cy="491844"/>
          </a:xfrm>
          <a:prstGeom prst="straightConnector1">
            <a:avLst/>
          </a:prstGeom>
          <a:ln w="254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 name="テキスト ボックス 11"/>
          <xdr:cNvSpPr txBox="1"/>
        </xdr:nvSpPr>
        <xdr:spPr>
          <a:xfrm>
            <a:off x="11834531" y="6667864"/>
            <a:ext cx="2995893" cy="508931"/>
          </a:xfrm>
          <a:prstGeom prst="rect">
            <a:avLst/>
          </a:prstGeom>
          <a:solidFill>
            <a:srgbClr val="FFFF00"/>
          </a:solidFill>
          <a:ln w="25400" cmpd="sng">
            <a:solidFill>
              <a:srgbClr val="0000FF"/>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1100" b="1">
                <a:solidFill>
                  <a:srgbClr val="0000FF"/>
                </a:solidFill>
              </a:rPr>
              <a:t>MAC</a:t>
            </a:r>
            <a:r>
              <a:rPr kumimoji="1" lang="ja-JP" altLang="en-US" sz="1100" b="1">
                <a:solidFill>
                  <a:srgbClr val="0000FF"/>
                </a:solidFill>
              </a:rPr>
              <a:t>アドレスです。</a:t>
            </a:r>
            <a:endParaRPr kumimoji="1" lang="en-US" altLang="ja-JP" sz="1100" b="1">
              <a:solidFill>
                <a:srgbClr val="0000FF"/>
              </a:solidFill>
            </a:endParaRPr>
          </a:p>
          <a:p>
            <a:r>
              <a:rPr kumimoji="1" lang="ja-JP" altLang="en-US" sz="1100" b="1">
                <a:solidFill>
                  <a:srgbClr val="0000FF"/>
                </a:solidFill>
              </a:rPr>
              <a:t>”：”を除き右から６桁の英数字を記入願います。</a:t>
            </a:r>
          </a:p>
        </xdr:txBody>
      </xdr:sp>
      <xdr:cxnSp macro="">
        <xdr:nvCxnSpPr>
          <xdr:cNvPr id="13" name="直線矢印コネクタ 12"/>
          <xdr:cNvCxnSpPr/>
        </xdr:nvCxnSpPr>
        <xdr:spPr>
          <a:xfrm flipV="1">
            <a:off x="14716683" y="6088792"/>
            <a:ext cx="170890" cy="579073"/>
          </a:xfrm>
          <a:prstGeom prst="straightConnector1">
            <a:avLst/>
          </a:prstGeom>
          <a:ln w="25400">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4" name="テキスト ボックス 13"/>
          <xdr:cNvSpPr txBox="1"/>
        </xdr:nvSpPr>
        <xdr:spPr>
          <a:xfrm>
            <a:off x="17077762" y="5466487"/>
            <a:ext cx="4289052" cy="1586379"/>
          </a:xfrm>
          <a:prstGeom prst="rect">
            <a:avLst/>
          </a:prstGeom>
          <a:solidFill>
            <a:srgbClr val="FFFF00"/>
          </a:solidFill>
          <a:ln w="25400" cmpd="sng">
            <a:solidFill>
              <a:srgbClr val="0099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200" b="1">
                <a:solidFill>
                  <a:srgbClr val="0000FF"/>
                </a:solidFill>
              </a:rPr>
              <a:t>型名の（　　　）内の記載が監視サービス種別を表します。</a:t>
            </a:r>
            <a:endParaRPr kumimoji="1" lang="en-US" altLang="ja-JP" sz="1200" b="1">
              <a:solidFill>
                <a:srgbClr val="0000FF"/>
              </a:solidFill>
            </a:endParaRPr>
          </a:p>
          <a:p>
            <a:r>
              <a:rPr kumimoji="1" lang="ja-JP" altLang="en-US" sz="1200" b="1">
                <a:solidFill>
                  <a:srgbClr val="0000FF"/>
                </a:solidFill>
              </a:rPr>
              <a:t>　●</a:t>
            </a:r>
            <a:r>
              <a:rPr kumimoji="1" lang="en-US" altLang="ja-JP" sz="1600" b="1">
                <a:solidFill>
                  <a:srgbClr val="0000FF"/>
                </a:solidFill>
              </a:rPr>
              <a:t>U30P</a:t>
            </a:r>
            <a:r>
              <a:rPr kumimoji="1" lang="ja-JP" altLang="en-US" sz="1200" b="1">
                <a:solidFill>
                  <a:srgbClr val="0000FF"/>
                </a:solidFill>
              </a:rPr>
              <a:t>　・・・　ローカル監視サービス</a:t>
            </a:r>
            <a:endParaRPr kumimoji="1" lang="en-US" altLang="ja-JP" sz="1200" b="1">
              <a:solidFill>
                <a:srgbClr val="0000FF"/>
              </a:solidFill>
            </a:endParaRPr>
          </a:p>
          <a:p>
            <a:r>
              <a:rPr kumimoji="1" lang="ja-JP" altLang="en-US" sz="1200" b="1">
                <a:solidFill>
                  <a:srgbClr val="0000FF"/>
                </a:solidFill>
              </a:rPr>
              <a:t>　●</a:t>
            </a:r>
            <a:r>
              <a:rPr kumimoji="1" lang="en-US" altLang="ja-JP" sz="1600" b="1">
                <a:solidFill>
                  <a:srgbClr val="0000FF"/>
                </a:solidFill>
                <a:effectLst/>
                <a:latin typeface="+mn-lt"/>
                <a:ea typeface="+mn-ea"/>
                <a:cs typeface="+mn-cs"/>
              </a:rPr>
              <a:t>U050</a:t>
            </a:r>
            <a:r>
              <a:rPr kumimoji="1" lang="ja-JP" altLang="en-US" sz="1200" b="1">
                <a:solidFill>
                  <a:srgbClr val="0000FF"/>
                </a:solidFill>
              </a:rPr>
              <a:t>　・・・　クラウド監視サービス　</a:t>
            </a:r>
            <a:r>
              <a:rPr kumimoji="1" lang="en-US" altLang="ja-JP" sz="1400" b="1">
                <a:solidFill>
                  <a:srgbClr val="0000FF"/>
                </a:solidFill>
              </a:rPr>
              <a:t>U-50kW</a:t>
            </a:r>
          </a:p>
          <a:p>
            <a:r>
              <a:rPr kumimoji="1" lang="ja-JP" altLang="en-US" sz="1200" b="1">
                <a:solidFill>
                  <a:srgbClr val="0000FF"/>
                </a:solidFill>
                <a:effectLst/>
                <a:latin typeface="+mn-lt"/>
                <a:ea typeface="+mn-ea"/>
                <a:cs typeface="+mn-cs"/>
              </a:rPr>
              <a:t>　●</a:t>
            </a:r>
            <a:r>
              <a:rPr kumimoji="1" lang="en-US" altLang="ja-JP" sz="1600" b="1">
                <a:solidFill>
                  <a:srgbClr val="0000FF"/>
                </a:solidFill>
                <a:effectLst/>
                <a:latin typeface="+mn-lt"/>
                <a:ea typeface="+mn-ea"/>
                <a:cs typeface="+mn-cs"/>
              </a:rPr>
              <a:t>U150</a:t>
            </a:r>
            <a:r>
              <a:rPr kumimoji="1" lang="ja-JP" altLang="en-US" sz="1200" b="1">
                <a:solidFill>
                  <a:srgbClr val="0000FF"/>
                </a:solidFill>
                <a:effectLst/>
                <a:latin typeface="+mn-lt"/>
                <a:ea typeface="+mn-ea"/>
                <a:cs typeface="+mn-cs"/>
              </a:rPr>
              <a:t>　・・・　クラウド</a:t>
            </a:r>
            <a:r>
              <a:rPr kumimoji="1" lang="ja-JP" altLang="ja-JP" sz="1200" b="1">
                <a:solidFill>
                  <a:srgbClr val="0000FF"/>
                </a:solidFill>
                <a:effectLst/>
                <a:latin typeface="+mn-lt"/>
                <a:ea typeface="+mn-ea"/>
                <a:cs typeface="+mn-cs"/>
              </a:rPr>
              <a:t>監視</a:t>
            </a:r>
            <a:r>
              <a:rPr kumimoji="1" lang="ja-JP" altLang="en-US" sz="1200" b="1">
                <a:solidFill>
                  <a:srgbClr val="0000FF"/>
                </a:solidFill>
                <a:effectLst/>
                <a:latin typeface="+mn-lt"/>
                <a:ea typeface="+mn-ea"/>
                <a:cs typeface="+mn-cs"/>
              </a:rPr>
              <a:t>サービス　</a:t>
            </a:r>
            <a:r>
              <a:rPr kumimoji="1" lang="en-US" altLang="ja-JP" sz="1400" b="1">
                <a:solidFill>
                  <a:srgbClr val="0000FF"/>
                </a:solidFill>
                <a:effectLst/>
                <a:latin typeface="+mn-lt"/>
                <a:ea typeface="+mn-ea"/>
                <a:cs typeface="+mn-cs"/>
              </a:rPr>
              <a:t>U-150kW</a:t>
            </a:r>
            <a:endParaRPr lang="ja-JP" altLang="ja-JP" sz="1400" b="1">
              <a:solidFill>
                <a:srgbClr val="0000FF"/>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　●</a:t>
            </a:r>
            <a:r>
              <a:rPr kumimoji="1" lang="en-US" altLang="ja-JP" sz="1600" b="1">
                <a:solidFill>
                  <a:srgbClr val="0000FF"/>
                </a:solidFill>
                <a:effectLst/>
                <a:latin typeface="+mn-lt"/>
                <a:ea typeface="+mn-ea"/>
                <a:cs typeface="+mn-cs"/>
              </a:rPr>
              <a:t>U300</a:t>
            </a:r>
            <a:r>
              <a:rPr kumimoji="1" lang="ja-JP" altLang="en-US" sz="1200" b="1">
                <a:solidFill>
                  <a:srgbClr val="0000FF"/>
                </a:solidFill>
                <a:effectLst/>
                <a:latin typeface="+mn-lt"/>
                <a:ea typeface="+mn-ea"/>
                <a:cs typeface="+mn-cs"/>
              </a:rPr>
              <a:t>　・・・　クラウド</a:t>
            </a:r>
            <a:r>
              <a:rPr kumimoji="1" lang="ja-JP" altLang="ja-JP" sz="1200" b="1">
                <a:solidFill>
                  <a:srgbClr val="0000FF"/>
                </a:solidFill>
                <a:effectLst/>
                <a:latin typeface="+mn-lt"/>
                <a:ea typeface="+mn-ea"/>
                <a:cs typeface="+mn-cs"/>
              </a:rPr>
              <a:t>監視</a:t>
            </a:r>
            <a:r>
              <a:rPr kumimoji="1" lang="ja-JP" altLang="en-US" sz="1200" b="1">
                <a:solidFill>
                  <a:srgbClr val="0000FF"/>
                </a:solidFill>
                <a:effectLst/>
                <a:latin typeface="+mn-lt"/>
                <a:ea typeface="+mn-ea"/>
                <a:cs typeface="+mn-cs"/>
              </a:rPr>
              <a:t>サービス　</a:t>
            </a:r>
            <a:r>
              <a:rPr kumimoji="1" lang="en-US" altLang="ja-JP" sz="1400" b="1">
                <a:solidFill>
                  <a:srgbClr val="0000FF"/>
                </a:solidFill>
                <a:effectLst/>
                <a:latin typeface="+mn-lt"/>
                <a:ea typeface="+mn-ea"/>
                <a:cs typeface="+mn-cs"/>
              </a:rPr>
              <a:t>U-300kW</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0000FF"/>
                </a:solidFill>
                <a:effectLst/>
                <a:latin typeface="+mn-lt"/>
                <a:ea typeface="+mn-ea"/>
                <a:cs typeface="+mn-cs"/>
              </a:rPr>
              <a:t>　</a:t>
            </a:r>
            <a:r>
              <a:rPr kumimoji="1" lang="ja-JP" altLang="ja-JP" sz="1200" b="1">
                <a:solidFill>
                  <a:srgbClr val="0000FF"/>
                </a:solidFill>
                <a:effectLst/>
                <a:latin typeface="+mn-ea"/>
                <a:ea typeface="+mn-ea"/>
                <a:cs typeface="+mn-cs"/>
              </a:rPr>
              <a:t>●</a:t>
            </a:r>
            <a:r>
              <a:rPr kumimoji="1" lang="en-US" altLang="ja-JP" sz="1600" b="1">
                <a:solidFill>
                  <a:srgbClr val="0000FF"/>
                </a:solidFill>
                <a:effectLst/>
                <a:latin typeface="+mn-lt"/>
                <a:ea typeface="+mn-ea"/>
                <a:cs typeface="+mn-cs"/>
              </a:rPr>
              <a:t>Combi</a:t>
            </a:r>
            <a:r>
              <a:rPr kumimoji="1" lang="ja-JP" altLang="ja-JP" sz="1200" b="1">
                <a:solidFill>
                  <a:srgbClr val="0000FF"/>
                </a:solidFill>
                <a:effectLst/>
                <a:latin typeface="+mn-ea"/>
                <a:ea typeface="+mn-ea"/>
                <a:cs typeface="+mn-cs"/>
              </a:rPr>
              <a:t>　・・・　クラウド</a:t>
            </a:r>
            <a:r>
              <a:rPr kumimoji="1" lang="ja-JP" altLang="en-US" sz="1200" b="1">
                <a:solidFill>
                  <a:srgbClr val="0000FF"/>
                </a:solidFill>
                <a:effectLst/>
                <a:latin typeface="+mn-ea"/>
                <a:ea typeface="+mn-ea"/>
                <a:cs typeface="+mn-cs"/>
              </a:rPr>
              <a:t>区画分譲オプション</a:t>
            </a:r>
            <a:r>
              <a:rPr kumimoji="1" lang="ja-JP" altLang="ja-JP" sz="1200" b="1">
                <a:solidFill>
                  <a:srgbClr val="0000FF"/>
                </a:solidFill>
                <a:effectLst/>
                <a:latin typeface="+mn-ea"/>
                <a:ea typeface="+mn-ea"/>
                <a:cs typeface="+mn-cs"/>
              </a:rPr>
              <a:t>サービス</a:t>
            </a:r>
            <a:endParaRPr lang="ja-JP" altLang="ja-JP" sz="1400" b="1">
              <a:solidFill>
                <a:srgbClr val="0000FF"/>
              </a:solidFill>
              <a:effectLst/>
            </a:endParaRPr>
          </a:p>
        </xdr:txBody>
      </xdr:sp>
      <xdr:cxnSp macro="">
        <xdr:nvCxnSpPr>
          <xdr:cNvPr id="15" name="直線矢印コネクタ 14"/>
          <xdr:cNvCxnSpPr/>
        </xdr:nvCxnSpPr>
        <xdr:spPr>
          <a:xfrm flipV="1">
            <a:off x="17637496" y="3933727"/>
            <a:ext cx="1092014" cy="1528845"/>
          </a:xfrm>
          <a:prstGeom prst="straightConnector1">
            <a:avLst/>
          </a:prstGeom>
          <a:ln w="25400" cmpd="sng">
            <a:solidFill>
              <a:srgbClr val="0099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 name="角丸四角形 15"/>
          <xdr:cNvSpPr/>
        </xdr:nvSpPr>
        <xdr:spPr>
          <a:xfrm>
            <a:off x="15589061" y="1184215"/>
            <a:ext cx="1318372" cy="437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ctr"/>
            <a:r>
              <a:rPr kumimoji="1" lang="ja-JP" altLang="en-US" sz="1800" b="1">
                <a:solidFill>
                  <a:srgbClr val="FF0000"/>
                </a:solidFill>
              </a:rPr>
              <a:t>サンプル</a:t>
            </a:r>
          </a:p>
        </xdr:txBody>
      </xdr:sp>
      <xdr:sp macro="" textlink="">
        <xdr:nvSpPr>
          <xdr:cNvPr id="17" name="角丸四角形 16"/>
          <xdr:cNvSpPr/>
        </xdr:nvSpPr>
        <xdr:spPr>
          <a:xfrm>
            <a:off x="22672860" y="1200408"/>
            <a:ext cx="1313890" cy="440637"/>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ctr"/>
            <a:r>
              <a:rPr kumimoji="1" lang="ja-JP" altLang="en-US" sz="1800" b="1">
                <a:solidFill>
                  <a:srgbClr val="FF0000"/>
                </a:solidFill>
              </a:rPr>
              <a:t>サンプル</a:t>
            </a:r>
          </a:p>
        </xdr:txBody>
      </xdr:sp>
      <xdr:sp macro="" textlink="">
        <xdr:nvSpPr>
          <xdr:cNvPr id="18" name="正方形/長方形 17"/>
          <xdr:cNvSpPr/>
        </xdr:nvSpPr>
        <xdr:spPr>
          <a:xfrm>
            <a:off x="18710460" y="3711979"/>
            <a:ext cx="493059" cy="245816"/>
          </a:xfrm>
          <a:prstGeom prst="rect">
            <a:avLst/>
          </a:prstGeom>
          <a:noFill/>
          <a:ln cmpd="sng">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角丸四角形 18"/>
          <xdr:cNvSpPr/>
        </xdr:nvSpPr>
        <xdr:spPr>
          <a:xfrm>
            <a:off x="17077763" y="1667440"/>
            <a:ext cx="3031750" cy="1097447"/>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物品送付書による</a:t>
            </a:r>
            <a:endParaRPr kumimoji="1" lang="en-US" altLang="ja-JP" sz="1200" b="1">
              <a:solidFill>
                <a:srgbClr val="0000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　●</a:t>
            </a:r>
            <a:r>
              <a:rPr kumimoji="1" lang="ja-JP" altLang="ja-JP" sz="1200" b="1">
                <a:solidFill>
                  <a:srgbClr val="0000FF"/>
                </a:solidFill>
                <a:effectLst/>
                <a:latin typeface="+mn-lt"/>
                <a:ea typeface="+mn-ea"/>
                <a:cs typeface="+mn-cs"/>
              </a:rPr>
              <a:t>監視サービス種別</a:t>
            </a:r>
            <a:endParaRPr kumimoji="1" lang="en-US" altLang="ja-JP" sz="1200" b="1">
              <a:solidFill>
                <a:srgbClr val="0000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　●</a:t>
            </a:r>
            <a:r>
              <a:rPr kumimoji="1" lang="ja-JP" altLang="ja-JP" sz="1200" b="1">
                <a:solidFill>
                  <a:srgbClr val="0000FF"/>
                </a:solidFill>
                <a:effectLst/>
                <a:latin typeface="+mn-lt"/>
                <a:ea typeface="+mn-ea"/>
                <a:cs typeface="+mn-cs"/>
              </a:rPr>
              <a:t>出力制御ユニット・監視装置製造番号</a:t>
            </a:r>
            <a:endParaRPr kumimoji="1" lang="en-US" altLang="ja-JP" sz="1200" b="1">
              <a:solidFill>
                <a:srgbClr val="0000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200" b="1">
                <a:solidFill>
                  <a:srgbClr val="0000FF"/>
                </a:solidFill>
                <a:effectLst/>
                <a:latin typeface="+mn-lt"/>
                <a:ea typeface="+mn-ea"/>
                <a:cs typeface="+mn-cs"/>
              </a:rPr>
              <a:t>確認例</a:t>
            </a:r>
            <a:endParaRPr kumimoji="1" lang="en-US" altLang="ja-JP" sz="1200" b="1">
              <a:solidFill>
                <a:srgbClr val="0000FF"/>
              </a:solidFill>
              <a:effectLst/>
              <a:latin typeface="+mn-lt"/>
              <a:ea typeface="+mn-ea"/>
              <a:cs typeface="+mn-cs"/>
            </a:endParaRPr>
          </a:p>
        </xdr:txBody>
      </xdr:sp>
      <xdr:sp macro="" textlink="">
        <xdr:nvSpPr>
          <xdr:cNvPr id="20" name="角丸四角形 19"/>
          <xdr:cNvSpPr/>
        </xdr:nvSpPr>
        <xdr:spPr>
          <a:xfrm>
            <a:off x="11786905" y="1768189"/>
            <a:ext cx="3005978" cy="1099128"/>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r>
              <a:rPr kumimoji="1" lang="ja-JP" altLang="en-US" sz="1200" b="1">
                <a:solidFill>
                  <a:srgbClr val="0000FF"/>
                </a:solidFill>
                <a:effectLst/>
                <a:latin typeface="+mn-lt"/>
                <a:ea typeface="+mn-ea"/>
                <a:cs typeface="+mn-cs"/>
              </a:rPr>
              <a:t>検査成績書による</a:t>
            </a:r>
            <a:endParaRPr kumimoji="1" lang="en-US" altLang="ja-JP" sz="1200" b="1">
              <a:solidFill>
                <a:srgbClr val="0000FF"/>
              </a:solidFill>
              <a:effectLst/>
              <a:latin typeface="+mn-lt"/>
              <a:ea typeface="+mn-ea"/>
              <a:cs typeface="+mn-cs"/>
            </a:endParaRPr>
          </a:p>
          <a:p>
            <a:r>
              <a:rPr kumimoji="1" lang="ja-JP" altLang="en-US" sz="1200" b="1">
                <a:solidFill>
                  <a:srgbClr val="0000FF"/>
                </a:solidFill>
                <a:effectLst/>
                <a:latin typeface="+mn-lt"/>
                <a:ea typeface="+mn-ea"/>
                <a:cs typeface="+mn-cs"/>
              </a:rPr>
              <a:t>　●</a:t>
            </a:r>
            <a:r>
              <a:rPr kumimoji="1" lang="ja-JP" altLang="ja-JP" sz="1200" b="1">
                <a:solidFill>
                  <a:srgbClr val="0000FF"/>
                </a:solidFill>
                <a:effectLst/>
                <a:latin typeface="+mn-lt"/>
                <a:ea typeface="+mn-ea"/>
                <a:cs typeface="+mn-cs"/>
              </a:rPr>
              <a:t>出力制御ユニット・監視装置製造番号</a:t>
            </a:r>
            <a:endParaRPr kumimoji="1" lang="en-US" altLang="ja-JP" sz="1200" b="1">
              <a:solidFill>
                <a:srgbClr val="0000FF"/>
              </a:solidFill>
              <a:effectLst/>
              <a:latin typeface="+mn-lt"/>
              <a:ea typeface="+mn-ea"/>
              <a:cs typeface="+mn-cs"/>
            </a:endParaRPr>
          </a:p>
          <a:p>
            <a:r>
              <a:rPr kumimoji="1" lang="ja-JP" altLang="en-US" sz="1200" b="1">
                <a:solidFill>
                  <a:srgbClr val="0000FF"/>
                </a:solidFill>
                <a:effectLst/>
                <a:latin typeface="+mn-lt"/>
                <a:ea typeface="+mn-ea"/>
                <a:cs typeface="+mn-cs"/>
              </a:rPr>
              <a:t>　●</a:t>
            </a:r>
            <a:r>
              <a:rPr kumimoji="1" lang="en-US" altLang="ja-JP" sz="1200" b="1">
                <a:solidFill>
                  <a:srgbClr val="0000FF"/>
                </a:solidFill>
                <a:effectLst/>
                <a:latin typeface="+mn-lt"/>
                <a:ea typeface="+mn-ea"/>
                <a:cs typeface="+mn-cs"/>
              </a:rPr>
              <a:t>MAC</a:t>
            </a:r>
            <a:r>
              <a:rPr kumimoji="1" lang="ja-JP" altLang="en-US" sz="1200" b="1">
                <a:solidFill>
                  <a:srgbClr val="0000FF"/>
                </a:solidFill>
                <a:effectLst/>
                <a:latin typeface="+mn-lt"/>
                <a:ea typeface="+mn-ea"/>
                <a:cs typeface="+mn-cs"/>
              </a:rPr>
              <a:t>アドレス</a:t>
            </a:r>
            <a:endParaRPr kumimoji="1" lang="en-US" altLang="ja-JP" sz="1200" b="1">
              <a:solidFill>
                <a:srgbClr val="0000FF"/>
              </a:solidFill>
              <a:effectLst/>
              <a:latin typeface="+mn-lt"/>
              <a:ea typeface="+mn-ea"/>
              <a:cs typeface="+mn-cs"/>
            </a:endParaRPr>
          </a:p>
          <a:p>
            <a:r>
              <a:rPr kumimoji="1" lang="ja-JP" altLang="en-US" sz="1200" b="1">
                <a:solidFill>
                  <a:srgbClr val="0000FF"/>
                </a:solidFill>
                <a:effectLst/>
                <a:latin typeface="+mn-lt"/>
                <a:ea typeface="+mn-ea"/>
                <a:cs typeface="+mn-cs"/>
              </a:rPr>
              <a:t>確認例</a:t>
            </a:r>
            <a:endParaRPr kumimoji="1" lang="ja-JP" altLang="en-US" sz="1200">
              <a:solidFill>
                <a:srgbClr val="0000FF"/>
              </a:solidFill>
            </a:endParaRPr>
          </a:p>
        </xdr:txBody>
      </xdr:sp>
      <xdr:sp macro="" textlink="">
        <xdr:nvSpPr>
          <xdr:cNvPr id="21" name="テキスト ボックス 20"/>
          <xdr:cNvSpPr txBox="1"/>
        </xdr:nvSpPr>
        <xdr:spPr>
          <a:xfrm>
            <a:off x="19552022" y="2739832"/>
            <a:ext cx="1899958" cy="513974"/>
          </a:xfrm>
          <a:prstGeom prst="rect">
            <a:avLst/>
          </a:prstGeom>
          <a:solidFill>
            <a:srgbClr val="FFFF00"/>
          </a:solidFill>
          <a:ln w="2540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1">
                <a:solidFill>
                  <a:srgbClr val="0000FF"/>
                </a:solidFill>
              </a:rPr>
              <a:t>出力制御ユニット・監視装置</a:t>
            </a:r>
            <a:endParaRPr kumimoji="1" lang="en-US" altLang="ja-JP" sz="1100" b="1">
              <a:solidFill>
                <a:srgbClr val="0000FF"/>
              </a:solidFill>
            </a:endParaRPr>
          </a:p>
          <a:p>
            <a:r>
              <a:rPr kumimoji="1" lang="ja-JP" altLang="en-US" sz="1100" b="1">
                <a:solidFill>
                  <a:srgbClr val="0000FF"/>
                </a:solidFill>
              </a:rPr>
              <a:t>製造番号です。</a:t>
            </a:r>
            <a:endParaRPr kumimoji="1" lang="en-US" altLang="ja-JP" sz="1100" b="1">
              <a:solidFill>
                <a:srgbClr val="0000FF"/>
              </a:solidFill>
            </a:endParaRPr>
          </a:p>
        </xdr:txBody>
      </xdr:sp>
      <xdr:cxnSp macro="">
        <xdr:nvCxnSpPr>
          <xdr:cNvPr id="22" name="直線矢印コネクタ 21"/>
          <xdr:cNvCxnSpPr>
            <a:stCxn id="21" idx="2"/>
          </xdr:cNvCxnSpPr>
        </xdr:nvCxnSpPr>
        <xdr:spPr>
          <a:xfrm>
            <a:off x="20502002" y="3253806"/>
            <a:ext cx="800380" cy="132897"/>
          </a:xfrm>
          <a:prstGeom prst="straightConnector1">
            <a:avLst/>
          </a:prstGeom>
          <a:ln w="254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a:stCxn id="21" idx="2"/>
          </xdr:cNvCxnSpPr>
        </xdr:nvCxnSpPr>
        <xdr:spPr>
          <a:xfrm>
            <a:off x="20502002" y="3253806"/>
            <a:ext cx="790855" cy="1320415"/>
          </a:xfrm>
          <a:prstGeom prst="straightConnector1">
            <a:avLst/>
          </a:prstGeom>
          <a:ln w="254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 name="角丸四角形吹き出し 23"/>
          <xdr:cNvSpPr/>
        </xdr:nvSpPr>
        <xdr:spPr>
          <a:xfrm>
            <a:off x="14100359" y="248295"/>
            <a:ext cx="3271558" cy="607868"/>
          </a:xfrm>
          <a:prstGeom prst="wedgeRoundRectCallout">
            <a:avLst>
              <a:gd name="adj1" fmla="val -22593"/>
              <a:gd name="adj2" fmla="val 102681"/>
              <a:gd name="adj3" fmla="val 16667"/>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r>
              <a:rPr kumimoji="1" lang="ja-JP" altLang="en-US" sz="1200" b="0">
                <a:solidFill>
                  <a:srgbClr val="0000FF"/>
                </a:solidFill>
              </a:rPr>
              <a:t>検査成績書は、出力制御ユニット・監視装置に</a:t>
            </a:r>
            <a:endParaRPr kumimoji="1" lang="en-US" altLang="ja-JP" sz="1200" b="0">
              <a:solidFill>
                <a:srgbClr val="0000FF"/>
              </a:solidFill>
            </a:endParaRPr>
          </a:p>
          <a:p>
            <a:pPr algn="l"/>
            <a:r>
              <a:rPr kumimoji="1" lang="ja-JP" altLang="en-US" sz="1200" b="0">
                <a:solidFill>
                  <a:srgbClr val="0000FF"/>
                </a:solidFill>
              </a:rPr>
              <a:t>１台ずつ添付してあります。</a:t>
            </a:r>
          </a:p>
        </xdr:txBody>
      </xdr:sp>
      <xdr:sp macro="" textlink="">
        <xdr:nvSpPr>
          <xdr:cNvPr id="25" name="角丸四角形吹き出し 24"/>
          <xdr:cNvSpPr/>
        </xdr:nvSpPr>
        <xdr:spPr>
          <a:xfrm>
            <a:off x="19438281" y="497233"/>
            <a:ext cx="3244103" cy="359997"/>
          </a:xfrm>
          <a:prstGeom prst="wedgeRoundRectCallout">
            <a:avLst>
              <a:gd name="adj1" fmla="val -22119"/>
              <a:gd name="adj2" fmla="val 132518"/>
              <a:gd name="adj3" fmla="val 16667"/>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r>
              <a:rPr kumimoji="1" lang="ja-JP" altLang="en-US" sz="1200" b="0">
                <a:solidFill>
                  <a:srgbClr val="0000FF"/>
                </a:solidFill>
              </a:rPr>
              <a:t>物品送付書は、納入単位毎に１通の発行です。</a:t>
            </a:r>
          </a:p>
        </xdr:txBody>
      </xdr:sp>
      <xdr:cxnSp macro="">
        <xdr:nvCxnSpPr>
          <xdr:cNvPr id="26" name="直線矢印コネクタ 25"/>
          <xdr:cNvCxnSpPr>
            <a:stCxn id="21" idx="2"/>
          </xdr:cNvCxnSpPr>
        </xdr:nvCxnSpPr>
        <xdr:spPr>
          <a:xfrm>
            <a:off x="20502002" y="3253806"/>
            <a:ext cx="781890" cy="750561"/>
          </a:xfrm>
          <a:prstGeom prst="straightConnector1">
            <a:avLst/>
          </a:prstGeom>
          <a:ln w="254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21264841" y="4585474"/>
            <a:ext cx="2788024" cy="285279"/>
          </a:xfrm>
          <a:prstGeom prst="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8" name="直線矢印コネクタ 27"/>
          <xdr:cNvCxnSpPr/>
        </xdr:nvCxnSpPr>
        <xdr:spPr>
          <a:xfrm flipV="1">
            <a:off x="17954062" y="4524608"/>
            <a:ext cx="784973" cy="926463"/>
          </a:xfrm>
          <a:prstGeom prst="straightConnector1">
            <a:avLst/>
          </a:prstGeom>
          <a:ln w="25400" cmpd="sng">
            <a:solidFill>
              <a:srgbClr val="0099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 name="直線矢印コネクタ 28"/>
          <xdr:cNvCxnSpPr/>
        </xdr:nvCxnSpPr>
        <xdr:spPr>
          <a:xfrm flipV="1">
            <a:off x="18229167" y="5114158"/>
            <a:ext cx="443193" cy="358193"/>
          </a:xfrm>
          <a:prstGeom prst="straightConnector1">
            <a:avLst/>
          </a:prstGeom>
          <a:ln w="25400" cmpd="sng">
            <a:solidFill>
              <a:srgbClr val="0099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 name="正方形/長方形 29"/>
          <xdr:cNvSpPr/>
        </xdr:nvSpPr>
        <xdr:spPr>
          <a:xfrm>
            <a:off x="21283891" y="3410000"/>
            <a:ext cx="2788024" cy="283552"/>
          </a:xfrm>
          <a:prstGeom prst="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正方形/長方形 30"/>
          <xdr:cNvSpPr/>
        </xdr:nvSpPr>
        <xdr:spPr>
          <a:xfrm>
            <a:off x="18719985" y="4275117"/>
            <a:ext cx="479050" cy="263425"/>
          </a:xfrm>
          <a:prstGeom prst="rect">
            <a:avLst/>
          </a:prstGeom>
          <a:noFill/>
          <a:ln cmpd="sng">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xdr:cNvSpPr/>
        </xdr:nvSpPr>
        <xdr:spPr>
          <a:xfrm>
            <a:off x="18681885" y="4872462"/>
            <a:ext cx="542923" cy="254218"/>
          </a:xfrm>
          <a:prstGeom prst="rect">
            <a:avLst/>
          </a:prstGeom>
          <a:noFill/>
          <a:ln cmpd="sng">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21271563" y="3981663"/>
            <a:ext cx="2788024" cy="314128"/>
          </a:xfrm>
          <a:prstGeom prst="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0</xdr:colOff>
      <xdr:row>46</xdr:row>
      <xdr:rowOff>0</xdr:rowOff>
    </xdr:from>
    <xdr:to>
      <xdr:col>17</xdr:col>
      <xdr:colOff>162887</xdr:colOff>
      <xdr:row>95</xdr:row>
      <xdr:rowOff>96527</xdr:rowOff>
    </xdr:to>
    <xdr:grpSp>
      <xdr:nvGrpSpPr>
        <xdr:cNvPr id="107" name="グループ化 106"/>
        <xdr:cNvGrpSpPr/>
      </xdr:nvGrpSpPr>
      <xdr:grpSpPr>
        <a:xfrm>
          <a:off x="10852150" y="12998450"/>
          <a:ext cx="8690937" cy="8376927"/>
          <a:chOff x="11552464" y="12532179"/>
          <a:chExt cx="9442959" cy="8562975"/>
        </a:xfrm>
      </xdr:grpSpPr>
      <xdr:grpSp>
        <xdr:nvGrpSpPr>
          <xdr:cNvPr id="3" name="グループ化 2"/>
          <xdr:cNvGrpSpPr/>
        </xdr:nvGrpSpPr>
        <xdr:grpSpPr>
          <a:xfrm>
            <a:off x="11570133" y="13703440"/>
            <a:ext cx="8870279" cy="4626673"/>
            <a:chOff x="11561969" y="13568729"/>
            <a:chExt cx="8890689" cy="4485159"/>
          </a:xfrm>
        </xdr:grpSpPr>
        <xdr:sp macro="" textlink="">
          <xdr:nvSpPr>
            <xdr:cNvPr id="35" name="円/楕円 34"/>
            <xdr:cNvSpPr/>
          </xdr:nvSpPr>
          <xdr:spPr>
            <a:xfrm>
              <a:off x="19518669" y="15625540"/>
              <a:ext cx="933989" cy="1573207"/>
            </a:xfrm>
            <a:prstGeom prst="ellipse">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6" name="正方形/長方形 35"/>
            <xdr:cNvSpPr/>
          </xdr:nvSpPr>
          <xdr:spPr>
            <a:xfrm>
              <a:off x="11561969" y="13568729"/>
              <a:ext cx="2931082" cy="210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1200" b="1">
                  <a:solidFill>
                    <a:srgbClr val="0000FF"/>
                  </a:solidFill>
                </a:rPr>
                <a:t>★監視サービス　グルーピングイメージ</a:t>
              </a:r>
            </a:p>
          </xdr:txBody>
        </xdr:sp>
        <xdr:pic>
          <xdr:nvPicPr>
            <xdr:cNvPr id="37" name="table"/>
            <xdr:cNvPicPr>
              <a:picLocks noChangeAspect="1"/>
            </xdr:cNvPicPr>
          </xdr:nvPicPr>
          <xdr:blipFill>
            <a:blip xmlns:r="http://schemas.openxmlformats.org/officeDocument/2006/relationships" r:embed="rId3"/>
            <a:stretch>
              <a:fillRect/>
            </a:stretch>
          </xdr:blipFill>
          <xdr:spPr>
            <a:xfrm>
              <a:off x="11638192" y="13804202"/>
              <a:ext cx="7825522" cy="3984787"/>
            </a:xfrm>
            <a:prstGeom prst="rect">
              <a:avLst/>
            </a:prstGeom>
          </xdr:spPr>
        </xdr:pic>
        <xdr:pic>
          <xdr:nvPicPr>
            <xdr:cNvPr id="38" name="Picture 2" descr="「無料イラスト ...」の画像検索結果"/>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65690" y="13925251"/>
              <a:ext cx="855098" cy="50506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9" name="正方形/長方形 38"/>
            <xdr:cNvSpPr/>
          </xdr:nvSpPr>
          <xdr:spPr>
            <a:xfrm>
              <a:off x="14246139" y="14135053"/>
              <a:ext cx="1139995" cy="269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rPr>
                <a:t>発電事業</a:t>
              </a:r>
              <a:endParaRPr kumimoji="1" lang="en-US" altLang="ja-JP" sz="1050">
                <a:solidFill>
                  <a:schemeClr val="tx1"/>
                </a:solidFill>
              </a:endParaRPr>
            </a:p>
            <a:p>
              <a:pPr algn="ctr"/>
              <a:r>
                <a:rPr kumimoji="1" lang="ja-JP" altLang="en-US" sz="1050">
                  <a:solidFill>
                    <a:schemeClr val="tx1"/>
                  </a:solidFill>
                </a:rPr>
                <a:t>オーナー１</a:t>
              </a:r>
            </a:p>
          </xdr:txBody>
        </xdr:sp>
        <xdr:sp macro="" textlink="">
          <xdr:nvSpPr>
            <xdr:cNvPr id="40" name="正方形/長方形 39"/>
            <xdr:cNvSpPr/>
          </xdr:nvSpPr>
          <xdr:spPr>
            <a:xfrm>
              <a:off x="17264170" y="14159611"/>
              <a:ext cx="1139995" cy="269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rPr>
                <a:t>発電事業</a:t>
              </a:r>
              <a:endParaRPr kumimoji="1" lang="en-US" altLang="ja-JP" sz="1050">
                <a:solidFill>
                  <a:schemeClr val="tx1"/>
                </a:solidFill>
              </a:endParaRPr>
            </a:p>
            <a:p>
              <a:pPr algn="ctr"/>
              <a:r>
                <a:rPr kumimoji="1" lang="ja-JP" altLang="en-US" sz="1050">
                  <a:solidFill>
                    <a:schemeClr val="tx1"/>
                  </a:solidFill>
                </a:rPr>
                <a:t>オーナー２</a:t>
              </a:r>
            </a:p>
          </xdr:txBody>
        </xdr:sp>
        <xdr:sp macro="" textlink="">
          <xdr:nvSpPr>
            <xdr:cNvPr id="41" name="正方形/長方形 40"/>
            <xdr:cNvSpPr/>
          </xdr:nvSpPr>
          <xdr:spPr>
            <a:xfrm>
              <a:off x="12693836" y="17827818"/>
              <a:ext cx="7041970" cy="226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en-US" altLang="ja-JP" sz="1200">
                  <a:solidFill>
                    <a:schemeClr val="tx1"/>
                  </a:solidFill>
                </a:rPr>
                <a:t>※  </a:t>
              </a:r>
              <a:r>
                <a:rPr kumimoji="1" lang="ja-JP" altLang="en-US" sz="1200">
                  <a:solidFill>
                    <a:schemeClr val="tx1"/>
                  </a:solidFill>
                </a:rPr>
                <a:t>保守責任事業者は、発電事業オーナーのグルーピングに関係なく、横断的に閲覧が可能です。</a:t>
              </a:r>
            </a:p>
          </xdr:txBody>
        </xdr:sp>
        <xdr:pic>
          <xdr:nvPicPr>
            <xdr:cNvPr id="42"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731601" y="16020403"/>
              <a:ext cx="570815" cy="52445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43" name="円/楕円 42"/>
            <xdr:cNvSpPr/>
          </xdr:nvSpPr>
          <xdr:spPr>
            <a:xfrm>
              <a:off x="13961191" y="14800005"/>
              <a:ext cx="1267888" cy="412420"/>
            </a:xfrm>
            <a:prstGeom prst="ellipse">
              <a:avLst/>
            </a:prstGeom>
            <a:solidFill>
              <a:srgbClr val="FFD5D5"/>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200">
                  <a:solidFill>
                    <a:schemeClr val="tx1"/>
                  </a:solidFill>
                  <a:latin typeface="+mn-ea"/>
                </a:rPr>
                <a:t>事業</a:t>
              </a:r>
              <a:r>
                <a:rPr kumimoji="1" lang="en-US" altLang="ja-JP" sz="1200">
                  <a:solidFill>
                    <a:schemeClr val="tx1"/>
                  </a:solidFill>
                  <a:latin typeface="+mn-ea"/>
                </a:rPr>
                <a:t>A</a:t>
              </a:r>
            </a:p>
            <a:p>
              <a:pPr algn="ctr"/>
              <a:r>
                <a:rPr lang="ja-JP" altLang="en-US" sz="1200">
                  <a:solidFill>
                    <a:schemeClr val="tx1"/>
                  </a:solidFill>
                  <a:latin typeface="+mn-ea"/>
                </a:rPr>
                <a:t>（九州地方）</a:t>
              </a:r>
              <a:endParaRPr kumimoji="1" lang="ja-JP" altLang="en-US" sz="1200">
                <a:solidFill>
                  <a:schemeClr val="tx1"/>
                </a:solidFill>
                <a:latin typeface="+mn-ea"/>
              </a:endParaRPr>
            </a:p>
          </xdr:txBody>
        </xdr:sp>
        <xdr:sp macro="" textlink="">
          <xdr:nvSpPr>
            <xdr:cNvPr id="44" name="円/楕円 43"/>
            <xdr:cNvSpPr/>
          </xdr:nvSpPr>
          <xdr:spPr>
            <a:xfrm>
              <a:off x="16671058" y="14800005"/>
              <a:ext cx="1280117" cy="412420"/>
            </a:xfrm>
            <a:prstGeom prst="ellipse">
              <a:avLst/>
            </a:prstGeom>
            <a:solidFill>
              <a:srgbClr val="FFD5D5"/>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200">
                  <a:solidFill>
                    <a:schemeClr val="tx1"/>
                  </a:solidFill>
                  <a:latin typeface="+mn-ea"/>
                </a:rPr>
                <a:t>事業</a:t>
              </a:r>
              <a:r>
                <a:rPr lang="en-US" altLang="ja-JP" sz="1200">
                  <a:solidFill>
                    <a:schemeClr val="tx1"/>
                  </a:solidFill>
                  <a:latin typeface="+mn-ea"/>
                </a:rPr>
                <a:t>C</a:t>
              </a:r>
              <a:endParaRPr kumimoji="1" lang="en-US" altLang="ja-JP" sz="1200">
                <a:solidFill>
                  <a:schemeClr val="tx1"/>
                </a:solidFill>
                <a:latin typeface="+mn-ea"/>
              </a:endParaRPr>
            </a:p>
            <a:p>
              <a:pPr algn="ctr"/>
              <a:r>
                <a:rPr lang="ja-JP" altLang="en-US" sz="1200">
                  <a:solidFill>
                    <a:schemeClr val="tx1"/>
                  </a:solidFill>
                  <a:latin typeface="+mn-ea"/>
                </a:rPr>
                <a:t>（中国地方）</a:t>
              </a:r>
              <a:endParaRPr kumimoji="1" lang="ja-JP" altLang="en-US" sz="1200">
                <a:solidFill>
                  <a:schemeClr val="tx1"/>
                </a:solidFill>
                <a:latin typeface="+mn-ea"/>
              </a:endParaRPr>
            </a:p>
          </xdr:txBody>
        </xdr:sp>
        <xdr:sp macro="" textlink="">
          <xdr:nvSpPr>
            <xdr:cNvPr id="45" name="円/楕円 44"/>
            <xdr:cNvSpPr/>
          </xdr:nvSpPr>
          <xdr:spPr>
            <a:xfrm>
              <a:off x="18084764" y="14800005"/>
              <a:ext cx="1262909" cy="412420"/>
            </a:xfrm>
            <a:prstGeom prst="ellipse">
              <a:avLst/>
            </a:prstGeom>
            <a:solidFill>
              <a:srgbClr val="FFD5D5"/>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200">
                  <a:solidFill>
                    <a:schemeClr val="tx1"/>
                  </a:solidFill>
                  <a:latin typeface="+mn-ea"/>
                </a:rPr>
                <a:t>事業</a:t>
              </a:r>
              <a:r>
                <a:rPr kumimoji="1" lang="en-US" altLang="ja-JP" sz="1200">
                  <a:solidFill>
                    <a:schemeClr val="tx1"/>
                  </a:solidFill>
                  <a:latin typeface="+mn-ea"/>
                </a:rPr>
                <a:t>D</a:t>
              </a:r>
            </a:p>
            <a:p>
              <a:pPr algn="ctr"/>
              <a:r>
                <a:rPr lang="ja-JP" altLang="en-US" sz="1200">
                  <a:solidFill>
                    <a:schemeClr val="tx1"/>
                  </a:solidFill>
                  <a:latin typeface="+mn-ea"/>
                </a:rPr>
                <a:t>（関東地方）</a:t>
              </a:r>
              <a:endParaRPr kumimoji="1" lang="ja-JP" altLang="en-US" sz="1200">
                <a:solidFill>
                  <a:schemeClr val="tx1"/>
                </a:solidFill>
                <a:latin typeface="+mn-ea"/>
              </a:endParaRPr>
            </a:p>
          </xdr:txBody>
        </xdr:sp>
        <xdr:sp macro="" textlink="">
          <xdr:nvSpPr>
            <xdr:cNvPr id="46" name="円/楕円 45"/>
            <xdr:cNvSpPr/>
          </xdr:nvSpPr>
          <xdr:spPr>
            <a:xfrm>
              <a:off x="13533692" y="15448095"/>
              <a:ext cx="1864953" cy="631542"/>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7" name="円/楕円 46"/>
            <xdr:cNvSpPr/>
          </xdr:nvSpPr>
          <xdr:spPr>
            <a:xfrm>
              <a:off x="13961191" y="16151161"/>
              <a:ext cx="3086777" cy="694081"/>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8" name="円/楕円 47"/>
            <xdr:cNvSpPr/>
          </xdr:nvSpPr>
          <xdr:spPr>
            <a:xfrm>
              <a:off x="14459940" y="17028855"/>
              <a:ext cx="4595488" cy="707007"/>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9" name="円/楕円 48"/>
            <xdr:cNvSpPr/>
          </xdr:nvSpPr>
          <xdr:spPr>
            <a:xfrm>
              <a:off x="17633166" y="15448095"/>
              <a:ext cx="1710189" cy="610456"/>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50" name="直線コネクタ 49"/>
            <xdr:cNvCxnSpPr/>
          </xdr:nvCxnSpPr>
          <xdr:spPr>
            <a:xfrm flipH="1">
              <a:off x="14603023" y="14430315"/>
              <a:ext cx="1012891" cy="36969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xdr:cNvCxnSpPr>
              <a:stCxn id="43" idx="5"/>
            </xdr:cNvCxnSpPr>
          </xdr:nvCxnSpPr>
          <xdr:spPr>
            <a:xfrm>
              <a:off x="15043402" y="15152028"/>
              <a:ext cx="912782" cy="980829"/>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xdr:cNvCxnSpPr/>
          </xdr:nvCxnSpPr>
          <xdr:spPr>
            <a:xfrm>
              <a:off x="14603021" y="15212426"/>
              <a:ext cx="0" cy="23567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xdr:cNvCxnSpPr/>
          </xdr:nvCxnSpPr>
          <xdr:spPr>
            <a:xfrm>
              <a:off x="18633982" y="15212426"/>
              <a:ext cx="0" cy="23567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4" name="直線コネクタ 53"/>
            <xdr:cNvCxnSpPr>
              <a:endCxn id="44" idx="0"/>
            </xdr:cNvCxnSpPr>
          </xdr:nvCxnSpPr>
          <xdr:spPr>
            <a:xfrm flipH="1">
              <a:off x="17311117" y="14488556"/>
              <a:ext cx="1082440" cy="31145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xdr:cNvCxnSpPr>
              <a:endCxn id="44" idx="0"/>
            </xdr:cNvCxnSpPr>
          </xdr:nvCxnSpPr>
          <xdr:spPr>
            <a:xfrm flipH="1">
              <a:off x="17311117" y="14488556"/>
              <a:ext cx="1082442" cy="31145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6" name="直線コネクタ 55"/>
            <xdr:cNvCxnSpPr>
              <a:stCxn id="63" idx="2"/>
              <a:endCxn id="45" idx="0"/>
            </xdr:cNvCxnSpPr>
          </xdr:nvCxnSpPr>
          <xdr:spPr>
            <a:xfrm>
              <a:off x="18511635" y="14456182"/>
              <a:ext cx="204584" cy="343823"/>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xdr:cNvCxnSpPr>
              <a:stCxn id="74" idx="3"/>
            </xdr:cNvCxnSpPr>
          </xdr:nvCxnSpPr>
          <xdr:spPr>
            <a:xfrm>
              <a:off x="15361025" y="15819518"/>
              <a:ext cx="4157644" cy="436553"/>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xdr:cNvCxnSpPr>
              <a:stCxn id="47" idx="6"/>
            </xdr:cNvCxnSpPr>
          </xdr:nvCxnSpPr>
          <xdr:spPr>
            <a:xfrm flipV="1">
              <a:off x="17047968" y="16412144"/>
              <a:ext cx="2470701" cy="86059"/>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59" name="直線コネクタ 58"/>
            <xdr:cNvCxnSpPr/>
          </xdr:nvCxnSpPr>
          <xdr:spPr>
            <a:xfrm flipV="1">
              <a:off x="18772687" y="16845244"/>
              <a:ext cx="817232" cy="375284"/>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xdr:cNvCxnSpPr>
              <a:endCxn id="49" idx="6"/>
            </xdr:cNvCxnSpPr>
          </xdr:nvCxnSpPr>
          <xdr:spPr>
            <a:xfrm flipH="1" flipV="1">
              <a:off x="19343355" y="15753323"/>
              <a:ext cx="237140" cy="256646"/>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61" name="正方形/長方形 60"/>
            <xdr:cNvSpPr/>
          </xdr:nvSpPr>
          <xdr:spPr>
            <a:xfrm>
              <a:off x="19602139" y="16609575"/>
              <a:ext cx="810524" cy="4545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rgbClr val="EA0000"/>
                  </a:solidFill>
                </a:rPr>
                <a:t>保守責任</a:t>
              </a:r>
              <a:endParaRPr kumimoji="1" lang="en-US" altLang="ja-JP" sz="1050">
                <a:solidFill>
                  <a:srgbClr val="EA0000"/>
                </a:solidFill>
              </a:endParaRPr>
            </a:p>
            <a:p>
              <a:pPr algn="ctr"/>
              <a:r>
                <a:rPr lang="ja-JP" altLang="en-US" sz="1050">
                  <a:solidFill>
                    <a:srgbClr val="EA0000"/>
                  </a:solidFill>
                </a:rPr>
                <a:t>事業者</a:t>
              </a:r>
              <a:endParaRPr lang="en-US" altLang="ja-JP" sz="1050">
                <a:solidFill>
                  <a:srgbClr val="EA0000"/>
                </a:solidFill>
              </a:endParaRPr>
            </a:p>
            <a:p>
              <a:pPr algn="ctr"/>
              <a:r>
                <a:rPr lang="en-US" altLang="ja-JP" sz="1050">
                  <a:solidFill>
                    <a:srgbClr val="EA0000"/>
                  </a:solidFill>
                </a:rPr>
                <a:t>※</a:t>
              </a:r>
              <a:endParaRPr kumimoji="1" lang="ja-JP" altLang="en-US" sz="1050">
                <a:solidFill>
                  <a:srgbClr val="EA0000"/>
                </a:solidFill>
              </a:endParaRPr>
            </a:p>
          </xdr:txBody>
        </xdr:sp>
        <xdr:pic>
          <xdr:nvPicPr>
            <xdr:cNvPr id="62"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47442" y="15503658"/>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Picture 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36174" y="13899385"/>
              <a:ext cx="550921" cy="55679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64"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60849" y="16248537"/>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178175" y="16162479"/>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6"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65690" y="16333490"/>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7"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796326" y="17027243"/>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13349" y="15486243"/>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904328" y="17132693"/>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68472" y="17279767"/>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615110" y="17003808"/>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271371" y="17159677"/>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3"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87904" y="17253473"/>
              <a:ext cx="807824" cy="4993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4" name="正方形/長方形 73"/>
            <xdr:cNvSpPr/>
          </xdr:nvSpPr>
          <xdr:spPr>
            <a:xfrm>
              <a:off x="14459939" y="15607983"/>
              <a:ext cx="901086" cy="4230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tx1"/>
                  </a:solidFill>
                </a:rPr>
                <a:t>発電所</a:t>
              </a:r>
              <a:r>
                <a:rPr kumimoji="1" lang="en-US" altLang="ja-JP" sz="1200">
                  <a:solidFill>
                    <a:schemeClr val="tx1"/>
                  </a:solidFill>
                </a:rPr>
                <a:t>X</a:t>
              </a:r>
              <a:r>
                <a:rPr kumimoji="1" lang="ja-JP" altLang="en-US" sz="1200">
                  <a:solidFill>
                    <a:schemeClr val="tx1"/>
                  </a:solidFill>
                </a:rPr>
                <a:t>（福岡県）</a:t>
              </a:r>
            </a:p>
          </xdr:txBody>
        </xdr:sp>
        <xdr:sp macro="" textlink="">
          <xdr:nvSpPr>
            <xdr:cNvPr id="75" name="正方形/長方形 74"/>
            <xdr:cNvSpPr/>
          </xdr:nvSpPr>
          <xdr:spPr>
            <a:xfrm>
              <a:off x="15985999" y="16358736"/>
              <a:ext cx="911252" cy="4114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tx1"/>
                  </a:solidFill>
                </a:rPr>
                <a:t>発電所</a:t>
              </a:r>
              <a:r>
                <a:rPr kumimoji="1" lang="en-US" altLang="ja-JP" sz="1200">
                  <a:solidFill>
                    <a:schemeClr val="tx1"/>
                  </a:solidFill>
                </a:rPr>
                <a:t>Y</a:t>
              </a:r>
              <a:r>
                <a:rPr kumimoji="1" lang="ja-JP" altLang="en-US" sz="1200">
                  <a:solidFill>
                    <a:schemeClr val="tx1"/>
                  </a:solidFill>
                </a:rPr>
                <a:t>（宮崎県）</a:t>
              </a:r>
            </a:p>
          </xdr:txBody>
        </xdr:sp>
        <xdr:sp macro="" textlink="">
          <xdr:nvSpPr>
            <xdr:cNvPr id="76" name="正方形/長方形 75"/>
            <xdr:cNvSpPr/>
          </xdr:nvSpPr>
          <xdr:spPr>
            <a:xfrm>
              <a:off x="17987383" y="17198746"/>
              <a:ext cx="907904" cy="4194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tx1"/>
                  </a:solidFill>
                </a:rPr>
                <a:t>発電所</a:t>
              </a:r>
              <a:r>
                <a:rPr kumimoji="1" lang="en-US" altLang="ja-JP" sz="1200">
                  <a:solidFill>
                    <a:schemeClr val="tx1"/>
                  </a:solidFill>
                </a:rPr>
                <a:t>Z</a:t>
              </a:r>
              <a:r>
                <a:rPr kumimoji="1" lang="ja-JP" altLang="en-US" sz="1200">
                  <a:solidFill>
                    <a:schemeClr val="tx1"/>
                  </a:solidFill>
                </a:rPr>
                <a:t>（広島県）</a:t>
              </a:r>
            </a:p>
          </xdr:txBody>
        </xdr:sp>
        <xdr:sp macro="" textlink="">
          <xdr:nvSpPr>
            <xdr:cNvPr id="77" name="正方形/長方形 76"/>
            <xdr:cNvSpPr/>
          </xdr:nvSpPr>
          <xdr:spPr>
            <a:xfrm>
              <a:off x="18417496" y="15607983"/>
              <a:ext cx="911326" cy="4230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tx1"/>
                  </a:solidFill>
                </a:rPr>
                <a:t>発電所</a:t>
              </a:r>
              <a:r>
                <a:rPr kumimoji="1" lang="en-US" altLang="ja-JP" sz="1200">
                  <a:solidFill>
                    <a:schemeClr val="tx1"/>
                  </a:solidFill>
                </a:rPr>
                <a:t>W</a:t>
              </a:r>
              <a:r>
                <a:rPr kumimoji="1" lang="ja-JP" altLang="en-US" sz="1200">
                  <a:solidFill>
                    <a:schemeClr val="tx1"/>
                  </a:solidFill>
                </a:rPr>
                <a:t>（埼玉県）</a:t>
              </a:r>
            </a:p>
          </xdr:txBody>
        </xdr:sp>
        <xdr:cxnSp macro="">
          <xdr:nvCxnSpPr>
            <xdr:cNvPr id="78" name="直線コネクタ 77"/>
            <xdr:cNvCxnSpPr/>
          </xdr:nvCxnSpPr>
          <xdr:spPr>
            <a:xfrm>
              <a:off x="17271371" y="15212426"/>
              <a:ext cx="0" cy="1786958"/>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sp macro="" textlink="">
          <xdr:nvSpPr>
            <xdr:cNvPr id="79" name="正方形/長方形 78"/>
            <xdr:cNvSpPr/>
          </xdr:nvSpPr>
          <xdr:spPr>
            <a:xfrm>
              <a:off x="14496147" y="16347557"/>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区画１</a:t>
              </a:r>
            </a:p>
          </xdr:txBody>
        </xdr:sp>
        <xdr:sp macro="" textlink="">
          <xdr:nvSpPr>
            <xdr:cNvPr id="80" name="正方形/長方形 79"/>
            <xdr:cNvSpPr/>
          </xdr:nvSpPr>
          <xdr:spPr>
            <a:xfrm>
              <a:off x="15409285" y="16344447"/>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区画２</a:t>
              </a:r>
            </a:p>
          </xdr:txBody>
        </xdr:sp>
        <xdr:sp macro="" textlink="">
          <xdr:nvSpPr>
            <xdr:cNvPr id="81" name="正方形/長方形 80"/>
            <xdr:cNvSpPr/>
          </xdr:nvSpPr>
          <xdr:spPr>
            <a:xfrm>
              <a:off x="15029937" y="17257663"/>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区画１</a:t>
              </a:r>
            </a:p>
          </xdr:txBody>
        </xdr:sp>
        <xdr:sp macro="" textlink="">
          <xdr:nvSpPr>
            <xdr:cNvPr id="82" name="正方形/長方形 81"/>
            <xdr:cNvSpPr/>
          </xdr:nvSpPr>
          <xdr:spPr>
            <a:xfrm>
              <a:off x="15878240" y="17238009"/>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区画２</a:t>
              </a:r>
            </a:p>
          </xdr:txBody>
        </xdr:sp>
        <xdr:sp macro="" textlink="">
          <xdr:nvSpPr>
            <xdr:cNvPr id="83" name="正方形/長方形 82"/>
            <xdr:cNvSpPr/>
          </xdr:nvSpPr>
          <xdr:spPr>
            <a:xfrm>
              <a:off x="16668680" y="17228205"/>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区画３</a:t>
              </a:r>
            </a:p>
          </xdr:txBody>
        </xdr:sp>
        <xdr:sp macro="" textlink="">
          <xdr:nvSpPr>
            <xdr:cNvPr id="84" name="正方形/長方形 83"/>
            <xdr:cNvSpPr/>
          </xdr:nvSpPr>
          <xdr:spPr>
            <a:xfrm>
              <a:off x="17417385" y="17287122"/>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区画４</a:t>
              </a:r>
            </a:p>
          </xdr:txBody>
        </xdr:sp>
        <xdr:cxnSp macro="">
          <xdr:nvCxnSpPr>
            <xdr:cNvPr id="85" name="直線コネクタ 84"/>
            <xdr:cNvCxnSpPr/>
          </xdr:nvCxnSpPr>
          <xdr:spPr>
            <a:xfrm>
              <a:off x="16395393" y="15330260"/>
              <a:ext cx="0" cy="82090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86" name="テキスト ボックス 85"/>
          <xdr:cNvSpPr txBox="1"/>
        </xdr:nvSpPr>
        <xdr:spPr>
          <a:xfrm>
            <a:off x="11552464" y="12532179"/>
            <a:ext cx="8999846" cy="1142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1200" b="1">
                <a:solidFill>
                  <a:srgbClr val="0000FF"/>
                </a:solidFill>
              </a:rPr>
              <a:t>★５－９，５－１０項　位置情報（経度・緯度）の世界測地系と日本測地系について</a:t>
            </a:r>
            <a:endParaRPr kumimoji="1" lang="en-US" altLang="ja-JP" sz="1200" b="1">
              <a:solidFill>
                <a:srgbClr val="0000FF"/>
              </a:solidFill>
            </a:endParaRPr>
          </a:p>
          <a:p>
            <a:r>
              <a:rPr kumimoji="1" lang="ja-JP" altLang="en-US" sz="1200" b="1">
                <a:solidFill>
                  <a:srgbClr val="0000FF"/>
                </a:solidFill>
              </a:rPr>
              <a:t>　</a:t>
            </a:r>
            <a:r>
              <a:rPr kumimoji="1" lang="ja-JP" altLang="en-US" sz="1200" b="1">
                <a:solidFill>
                  <a:sysClr val="windowText" lastClr="000000"/>
                </a:solidFill>
              </a:rPr>
              <a:t>経度・緯度の測定には、</a:t>
            </a:r>
            <a:r>
              <a:rPr lang="ja-JP" altLang="en-US" sz="1200" b="1">
                <a:solidFill>
                  <a:sysClr val="windowText" lastClr="000000"/>
                </a:solidFill>
                <a:effectLst/>
              </a:rPr>
              <a:t>人工衛星等の観測結果を元にした世界測地系と、日本独自の測定方法で構築した日本測地系があります。</a:t>
            </a:r>
            <a:endParaRPr lang="en-US" altLang="ja-JP" sz="1200" b="1">
              <a:solidFill>
                <a:sysClr val="windowText" lastClr="000000"/>
              </a:solidFill>
              <a:effectLst/>
            </a:endParaRPr>
          </a:p>
          <a:p>
            <a:r>
              <a:rPr lang="ja-JP" altLang="en-US" sz="1200" b="1">
                <a:solidFill>
                  <a:sysClr val="windowText" lastClr="000000"/>
                </a:solidFill>
                <a:effectLst/>
              </a:rPr>
              <a:t>　同一地点でも２つの測地系の値には違いがありますので、どちらの測地系なのか確認をお願いします。</a:t>
            </a:r>
            <a:endParaRPr lang="en-US" altLang="ja-JP" sz="1200" b="1">
              <a:solidFill>
                <a:sysClr val="windowText" lastClr="000000"/>
              </a:solidFill>
              <a:effectLst/>
            </a:endParaRPr>
          </a:p>
          <a:p>
            <a:r>
              <a:rPr kumimoji="1" lang="ja-JP" altLang="en-US" sz="1200" b="1">
                <a:solidFill>
                  <a:sysClr val="windowText" lastClr="000000"/>
                </a:solidFill>
                <a:effectLst/>
              </a:rPr>
              <a:t>　一例では、</a:t>
            </a:r>
            <a:r>
              <a:rPr kumimoji="1" lang="en-US" altLang="ja-JP" sz="1200" b="1">
                <a:solidFill>
                  <a:sysClr val="windowText" lastClr="000000"/>
                </a:solidFill>
                <a:effectLst/>
              </a:rPr>
              <a:t>Google</a:t>
            </a:r>
            <a:r>
              <a:rPr kumimoji="1" lang="ja-JP" altLang="en-US" sz="1200" b="1">
                <a:solidFill>
                  <a:sysClr val="windowText" lastClr="000000"/>
                </a:solidFill>
                <a:effectLst/>
              </a:rPr>
              <a:t>マップは世界測地系を採用しています。</a:t>
            </a:r>
            <a:endParaRPr kumimoji="1" lang="en-US" altLang="ja-JP" sz="1200" b="1">
              <a:solidFill>
                <a:sysClr val="windowText" lastClr="000000"/>
              </a:solidFill>
              <a:effectLst/>
            </a:endParaRPr>
          </a:p>
          <a:p>
            <a:r>
              <a:rPr kumimoji="1" lang="ja-JP" altLang="en-US" sz="1200" b="1">
                <a:solidFill>
                  <a:sysClr val="windowText" lastClr="000000"/>
                </a:solidFill>
                <a:effectLst/>
              </a:rPr>
              <a:t>　　</a:t>
            </a:r>
            <a:r>
              <a:rPr kumimoji="1" lang="en-US" altLang="ja-JP" sz="1200" b="1">
                <a:solidFill>
                  <a:sysClr val="windowText" lastClr="000000"/>
                </a:solidFill>
                <a:effectLst/>
              </a:rPr>
              <a:t>※</a:t>
            </a:r>
            <a:r>
              <a:rPr kumimoji="1" lang="ja-JP" altLang="en-US" sz="1200" b="1">
                <a:solidFill>
                  <a:sysClr val="windowText" lastClr="000000"/>
                </a:solidFill>
                <a:effectLst/>
              </a:rPr>
              <a:t>参考</a:t>
            </a:r>
            <a:r>
              <a:rPr kumimoji="1" lang="en-US" altLang="ja-JP" sz="1200" b="1">
                <a:solidFill>
                  <a:sysClr val="windowText" lastClr="000000"/>
                </a:solidFill>
              </a:rPr>
              <a:t>URL</a:t>
            </a:r>
            <a:r>
              <a:rPr kumimoji="1" lang="ja-JP" altLang="en-US" sz="1200" b="1">
                <a:solidFill>
                  <a:sysClr val="windowText" lastClr="000000"/>
                </a:solidFill>
              </a:rPr>
              <a:t>　</a:t>
            </a:r>
            <a:r>
              <a:rPr kumimoji="1" lang="en-US" altLang="ja-JP" sz="1200" b="1">
                <a:solidFill>
                  <a:sysClr val="windowText" lastClr="000000"/>
                </a:solidFill>
              </a:rPr>
              <a:t>https://www.google.co.jp/maps/</a:t>
            </a:r>
            <a:endParaRPr kumimoji="1" lang="ja-JP" altLang="en-US" sz="1200" b="1">
              <a:solidFill>
                <a:sysClr val="windowText" lastClr="000000"/>
              </a:solidFill>
            </a:endParaRPr>
          </a:p>
        </xdr:txBody>
      </xdr:sp>
      <xdr:grpSp>
        <xdr:nvGrpSpPr>
          <xdr:cNvPr id="105" name="グループ化 104"/>
          <xdr:cNvGrpSpPr/>
        </xdr:nvGrpSpPr>
        <xdr:grpSpPr>
          <a:xfrm>
            <a:off x="11593285" y="18455850"/>
            <a:ext cx="9402138" cy="2639304"/>
            <a:chOff x="11544300" y="18174182"/>
            <a:chExt cx="9427991" cy="2590241"/>
          </a:xfrm>
        </xdr:grpSpPr>
        <xdr:sp macro="" textlink="">
          <xdr:nvSpPr>
            <xdr:cNvPr id="87" name="テキスト ボックス 86"/>
            <xdr:cNvSpPr txBox="1"/>
          </xdr:nvSpPr>
          <xdr:spPr>
            <a:xfrm>
              <a:off x="11544300" y="18174182"/>
              <a:ext cx="9427991" cy="904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200" b="1">
                  <a:solidFill>
                    <a:srgbClr val="0000FF"/>
                  </a:solidFill>
                </a:rPr>
                <a:t>★</a:t>
              </a:r>
              <a:r>
                <a:rPr kumimoji="1" lang="ja-JP" altLang="ja-JP" sz="1200" b="1">
                  <a:solidFill>
                    <a:srgbClr val="0000FF"/>
                  </a:solidFill>
                  <a:effectLst/>
                  <a:latin typeface="+mn-lt"/>
                  <a:ea typeface="+mn-ea"/>
                  <a:cs typeface="+mn-cs"/>
                </a:rPr>
                <a:t>５－</a:t>
              </a:r>
              <a:r>
                <a:rPr kumimoji="1" lang="ja-JP" altLang="en-US" sz="1200" b="1">
                  <a:solidFill>
                    <a:srgbClr val="0000FF"/>
                  </a:solidFill>
                  <a:effectLst/>
                  <a:latin typeface="+mn-lt"/>
                  <a:ea typeface="+mn-ea"/>
                  <a:cs typeface="+mn-cs"/>
                </a:rPr>
                <a:t>２２</a:t>
              </a:r>
              <a:r>
                <a:rPr kumimoji="1" lang="ja-JP" altLang="ja-JP" sz="1200" b="1">
                  <a:solidFill>
                    <a:srgbClr val="0000FF"/>
                  </a:solidFill>
                  <a:effectLst/>
                  <a:latin typeface="+mn-lt"/>
                  <a:ea typeface="+mn-ea"/>
                  <a:cs typeface="+mn-cs"/>
                </a:rPr>
                <a:t>～５－４</a:t>
              </a:r>
              <a:r>
                <a:rPr kumimoji="1" lang="ja-JP" altLang="en-US" sz="1200" b="1">
                  <a:solidFill>
                    <a:srgbClr val="0000FF"/>
                  </a:solidFill>
                  <a:effectLst/>
                  <a:latin typeface="+mn-lt"/>
                  <a:ea typeface="+mn-ea"/>
                  <a:cs typeface="+mn-cs"/>
                </a:rPr>
                <a:t>５</a:t>
              </a:r>
              <a:r>
                <a:rPr kumimoji="1" lang="ja-JP" altLang="ja-JP" sz="1200" b="1">
                  <a:solidFill>
                    <a:srgbClr val="0000FF"/>
                  </a:solidFill>
                  <a:effectLst/>
                  <a:latin typeface="+mn-lt"/>
                  <a:ea typeface="+mn-ea"/>
                  <a:cs typeface="+mn-cs"/>
                </a:rPr>
                <a:t>項　</a:t>
              </a:r>
              <a:r>
                <a:rPr kumimoji="1" lang="ja-JP" altLang="en-US" sz="1200" b="1">
                  <a:solidFill>
                    <a:srgbClr val="0000FF"/>
                  </a:solidFill>
                </a:rPr>
                <a:t>区画１～８の発電所（サイト）名称記入について</a:t>
              </a:r>
              <a:endParaRPr kumimoji="1" lang="en-US" altLang="ja-JP" sz="1200" b="1">
                <a:solidFill>
                  <a:srgbClr val="0000FF"/>
                </a:solidFill>
              </a:endParaRPr>
            </a:p>
            <a:p>
              <a:r>
                <a:rPr kumimoji="1" lang="ja-JP" altLang="en-US" sz="1200" b="1">
                  <a:solidFill>
                    <a:sysClr val="windowText" lastClr="000000"/>
                  </a:solidFill>
                </a:rPr>
                <a:t>　５．［発電所情報］の区画Ｎｏ．はサービス登録上のＮｏ．です。　お客様が別途付与した発電所名称や、番号と一致する必要はありません。</a:t>
              </a:r>
              <a:endParaRPr kumimoji="1" lang="en-US" altLang="ja-JP" sz="1200" b="1">
                <a:solidFill>
                  <a:sysClr val="windowText" lastClr="000000"/>
                </a:solidFill>
              </a:endParaRPr>
            </a:p>
            <a:p>
              <a:r>
                <a:rPr kumimoji="1" lang="ja-JP" altLang="en-US" sz="1200" b="1">
                  <a:solidFill>
                    <a:sysClr val="windowText" lastClr="000000"/>
                  </a:solidFill>
                </a:rPr>
                <a:t>　以下の例を参考に、パワーコンディショナ（ＰＣＳ）通信ＩＤの若い順に、区画 １ から発電所名称を記入願います。</a:t>
              </a:r>
            </a:p>
          </xdr:txBody>
        </xdr:sp>
        <xdr:pic>
          <xdr:nvPicPr>
            <xdr:cNvPr id="88" name="図 87"/>
            <xdr:cNvPicPr>
              <a:picLocks noChangeAspect="1"/>
            </xdr:cNvPicPr>
          </xdr:nvPicPr>
          <xdr:blipFill rotWithShape="1">
            <a:blip xmlns:r="http://schemas.openxmlformats.org/officeDocument/2006/relationships" r:embed="rId8"/>
            <a:srcRect l="5261" t="18798" r="50046" b="62959"/>
            <a:stretch/>
          </xdr:blipFill>
          <xdr:spPr>
            <a:xfrm>
              <a:off x="11727316" y="18785472"/>
              <a:ext cx="8078442" cy="1978951"/>
            </a:xfrm>
            <a:prstGeom prst="rect">
              <a:avLst/>
            </a:prstGeom>
          </xdr:spPr>
        </xdr:pic>
      </xdr:grpSp>
    </xdr:grpSp>
    <xdr:clientData/>
  </xdr:twoCellAnchor>
  <xdr:twoCellAnchor>
    <xdr:from>
      <xdr:col>12</xdr:col>
      <xdr:colOff>0</xdr:colOff>
      <xdr:row>113</xdr:row>
      <xdr:rowOff>168090</xdr:rowOff>
    </xdr:from>
    <xdr:to>
      <xdr:col>17</xdr:col>
      <xdr:colOff>564297</xdr:colOff>
      <xdr:row>136</xdr:row>
      <xdr:rowOff>17446</xdr:rowOff>
    </xdr:to>
    <xdr:grpSp>
      <xdr:nvGrpSpPr>
        <xdr:cNvPr id="118" name="グループ化 117"/>
        <xdr:cNvGrpSpPr/>
      </xdr:nvGrpSpPr>
      <xdr:grpSpPr>
        <a:xfrm>
          <a:off x="10852150" y="25415690"/>
          <a:ext cx="9092347" cy="3691106"/>
          <a:chOff x="11586882" y="24473649"/>
          <a:chExt cx="9865180" cy="3065444"/>
        </a:xfrm>
      </xdr:grpSpPr>
      <xdr:sp macro="" textlink="">
        <xdr:nvSpPr>
          <xdr:cNvPr id="103" name="テキスト ボックス 102"/>
          <xdr:cNvSpPr txBox="1"/>
        </xdr:nvSpPr>
        <xdr:spPr>
          <a:xfrm>
            <a:off x="11586882" y="24473649"/>
            <a:ext cx="9865180" cy="1092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200" b="1">
                <a:solidFill>
                  <a:srgbClr val="0000FF"/>
                </a:solidFill>
                <a:latin typeface="+mn-ea"/>
                <a:ea typeface="+mn-ea"/>
              </a:rPr>
              <a:t>★</a:t>
            </a:r>
            <a:r>
              <a:rPr kumimoji="1" lang="ja-JP" altLang="ja-JP" sz="1200" b="1">
                <a:solidFill>
                  <a:srgbClr val="0000FF"/>
                </a:solidFill>
                <a:effectLst/>
                <a:latin typeface="+mn-lt"/>
                <a:ea typeface="+mn-ea"/>
                <a:cs typeface="+mn-cs"/>
              </a:rPr>
              <a:t>８－９，８－１０項　</a:t>
            </a:r>
            <a:r>
              <a:rPr kumimoji="1" lang="ja-JP" altLang="en-US" sz="1200" b="1">
                <a:solidFill>
                  <a:srgbClr val="0000FF"/>
                </a:solidFill>
                <a:latin typeface="+mn-ea"/>
                <a:ea typeface="+mn-ea"/>
              </a:rPr>
              <a:t>方位角・傾斜角について</a:t>
            </a:r>
          </a:p>
          <a:p>
            <a:r>
              <a:rPr kumimoji="1" lang="ja-JP" altLang="en-US" sz="1200" b="1">
                <a:latin typeface="+mn-ea"/>
                <a:ea typeface="+mn-ea"/>
              </a:rPr>
              <a:t>　同一システム内で異なる方位角、傾斜角のパネルが混在する場合は、パネル枚数が最も多い方の情報を採用願います。</a:t>
            </a:r>
            <a:endParaRPr kumimoji="1" lang="en-US" altLang="ja-JP" sz="1200" b="1">
              <a:latin typeface="+mn-ea"/>
              <a:ea typeface="+mn-ea"/>
            </a:endParaRPr>
          </a:p>
          <a:p>
            <a:r>
              <a:rPr kumimoji="1" lang="ja-JP" altLang="en-US" sz="1200" b="1">
                <a:latin typeface="+mn-ea"/>
                <a:ea typeface="+mn-ea"/>
              </a:rPr>
              <a:t>　例）以下のようなＬ型物件の場合、設置パネルが１００枚の情報を採用願います。</a:t>
            </a:r>
          </a:p>
          <a:p>
            <a:r>
              <a:rPr kumimoji="1" lang="ja-JP" altLang="en-US" sz="1200" b="1">
                <a:latin typeface="+mn-ea"/>
                <a:ea typeface="+mn-ea"/>
              </a:rPr>
              <a:t>　　●方位角・・・実際は１０度ですが、入力は０～１８０度の範囲で１５度単位ですので、１０度に最も近い１５度を選択願います。</a:t>
            </a:r>
          </a:p>
          <a:p>
            <a:r>
              <a:rPr kumimoji="1" lang="ja-JP" altLang="en-US" sz="1200" b="1">
                <a:latin typeface="+mn-ea"/>
                <a:ea typeface="+mn-ea"/>
              </a:rPr>
              <a:t>　　●傾斜角・・・実際は２５度ですが、入力は水平０度～垂直９０度の範囲で１０</a:t>
            </a:r>
            <a:r>
              <a:rPr kumimoji="1" lang="ja-JP" altLang="en-US" sz="1200" b="1">
                <a:solidFill>
                  <a:sysClr val="windowText" lastClr="000000"/>
                </a:solidFill>
                <a:latin typeface="+mn-ea"/>
                <a:ea typeface="+mn-ea"/>
              </a:rPr>
              <a:t>度単位ですので、２５度を四捨五入した３０度を選択願います</a:t>
            </a:r>
            <a:r>
              <a:rPr kumimoji="1" lang="ja-JP" altLang="en-US" sz="1200" b="1">
                <a:latin typeface="+mn-ea"/>
                <a:ea typeface="+mn-ea"/>
              </a:rPr>
              <a:t>。</a:t>
            </a:r>
          </a:p>
        </xdr:txBody>
      </xdr:sp>
      <xdr:grpSp>
        <xdr:nvGrpSpPr>
          <xdr:cNvPr id="117" name="グループ化 116"/>
          <xdr:cNvGrpSpPr/>
        </xdr:nvGrpSpPr>
        <xdr:grpSpPr>
          <a:xfrm>
            <a:off x="12045195" y="26090803"/>
            <a:ext cx="3518861" cy="1132386"/>
            <a:chOff x="12045195" y="25945125"/>
            <a:chExt cx="3518861" cy="1132386"/>
          </a:xfrm>
        </xdr:grpSpPr>
        <xdr:sp macro="" textlink="">
          <xdr:nvSpPr>
            <xdr:cNvPr id="89" name="正方形/長方形 88"/>
            <xdr:cNvSpPr/>
          </xdr:nvSpPr>
          <xdr:spPr>
            <a:xfrm rot="20607301">
              <a:off x="12045195" y="25945125"/>
              <a:ext cx="1225059" cy="684264"/>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0" name="正方形/長方形 89"/>
            <xdr:cNvSpPr/>
          </xdr:nvSpPr>
          <xdr:spPr>
            <a:xfrm rot="20607301">
              <a:off x="12264173" y="26396155"/>
              <a:ext cx="3299883" cy="681356"/>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1" name="直線コネクタ 90"/>
            <xdr:cNvCxnSpPr/>
          </xdr:nvCxnSpPr>
          <xdr:spPr>
            <a:xfrm flipV="1">
              <a:off x="12177131" y="26485477"/>
              <a:ext cx="1196476" cy="287210"/>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92" name="テキスト ボックス 91"/>
            <xdr:cNvSpPr txBox="1"/>
          </xdr:nvSpPr>
          <xdr:spPr>
            <a:xfrm>
              <a:off x="12215198" y="26045168"/>
              <a:ext cx="872931"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方位角８０度</a:t>
              </a:r>
              <a:endParaRPr kumimoji="1" lang="en-US" altLang="ja-JP" sz="1000"/>
            </a:p>
            <a:p>
              <a:r>
                <a:rPr kumimoji="1" lang="ja-JP" altLang="en-US" sz="1000"/>
                <a:t>傾斜角３５度</a:t>
              </a:r>
              <a:endParaRPr kumimoji="1" lang="en-US" altLang="ja-JP" sz="1000"/>
            </a:p>
            <a:p>
              <a:r>
                <a:rPr kumimoji="1" lang="ja-JP" altLang="en-US" sz="1000"/>
                <a:t>パネル５０枚</a:t>
              </a:r>
            </a:p>
          </xdr:txBody>
        </xdr:sp>
        <xdr:sp macro="" textlink="">
          <xdr:nvSpPr>
            <xdr:cNvPr id="93" name="テキスト ボックス 92"/>
            <xdr:cNvSpPr txBox="1"/>
          </xdr:nvSpPr>
          <xdr:spPr>
            <a:xfrm>
              <a:off x="13715274" y="26388372"/>
              <a:ext cx="951543"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方位角１０度</a:t>
              </a:r>
              <a:endParaRPr kumimoji="1" lang="en-US" altLang="ja-JP" sz="1000"/>
            </a:p>
            <a:p>
              <a:r>
                <a:rPr kumimoji="1" lang="ja-JP" altLang="en-US" sz="1000"/>
                <a:t>傾斜角２５度</a:t>
              </a:r>
              <a:endParaRPr kumimoji="1" lang="en-US" altLang="ja-JP" sz="1000"/>
            </a:p>
            <a:p>
              <a:r>
                <a:rPr kumimoji="1" lang="ja-JP" altLang="en-US" sz="1000"/>
                <a:t>パネル１００枚</a:t>
              </a:r>
            </a:p>
          </xdr:txBody>
        </xdr:sp>
      </xdr:grpSp>
      <xdr:grpSp>
        <xdr:nvGrpSpPr>
          <xdr:cNvPr id="116" name="グループ化 115"/>
          <xdr:cNvGrpSpPr/>
        </xdr:nvGrpSpPr>
        <xdr:grpSpPr>
          <a:xfrm>
            <a:off x="16210537" y="25734048"/>
            <a:ext cx="2042749" cy="1805045"/>
            <a:chOff x="15616619" y="25588370"/>
            <a:chExt cx="2042749" cy="1805045"/>
          </a:xfrm>
        </xdr:grpSpPr>
        <xdr:grpSp>
          <xdr:nvGrpSpPr>
            <xdr:cNvPr id="94" name="グループ化 93"/>
            <xdr:cNvGrpSpPr/>
          </xdr:nvGrpSpPr>
          <xdr:grpSpPr>
            <a:xfrm>
              <a:off x="15616619" y="25948303"/>
              <a:ext cx="2042749" cy="1445112"/>
              <a:chOff x="13246578" y="24262095"/>
              <a:chExt cx="2066925" cy="1801882"/>
            </a:xfrm>
          </xdr:grpSpPr>
          <xdr:grpSp>
            <xdr:nvGrpSpPr>
              <xdr:cNvPr id="95" name="グループ化 94"/>
              <xdr:cNvGrpSpPr/>
            </xdr:nvGrpSpPr>
            <xdr:grpSpPr>
              <a:xfrm>
                <a:off x="14079264" y="24632416"/>
                <a:ext cx="410889" cy="1025744"/>
                <a:chOff x="14267793" y="24283345"/>
                <a:chExt cx="413845" cy="1021803"/>
              </a:xfrm>
            </xdr:grpSpPr>
            <xdr:cxnSp macro="">
              <xdr:nvCxnSpPr>
                <xdr:cNvPr id="100" name="直線コネクタ 99"/>
                <xdr:cNvCxnSpPr/>
              </xdr:nvCxnSpPr>
              <xdr:spPr>
                <a:xfrm>
                  <a:off x="14478000" y="24283347"/>
                  <a:ext cx="6569" cy="1021803"/>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 name="直線コネクタ 100"/>
                <xdr:cNvCxnSpPr/>
              </xdr:nvCxnSpPr>
              <xdr:spPr>
                <a:xfrm flipH="1">
                  <a:off x="14267793" y="24305172"/>
                  <a:ext cx="203638" cy="532087"/>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2" name="直線コネクタ 101"/>
                <xdr:cNvCxnSpPr/>
              </xdr:nvCxnSpPr>
              <xdr:spPr>
                <a:xfrm>
                  <a:off x="14267793" y="24830690"/>
                  <a:ext cx="41384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96" name="テキスト ボックス 95"/>
              <xdr:cNvSpPr txBox="1"/>
            </xdr:nvSpPr>
            <xdr:spPr>
              <a:xfrm>
                <a:off x="13782673" y="24262095"/>
                <a:ext cx="1006953" cy="3437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kumimoji="1" lang="ja-JP" altLang="en-US" sz="1100"/>
                  <a:t>北（１８０度）</a:t>
                </a:r>
              </a:p>
            </xdr:txBody>
          </xdr:sp>
          <xdr:sp macro="" textlink="">
            <xdr:nvSpPr>
              <xdr:cNvPr id="97" name="テキスト ボックス 96"/>
              <xdr:cNvSpPr txBox="1"/>
            </xdr:nvSpPr>
            <xdr:spPr>
              <a:xfrm>
                <a:off x="13875228" y="25720191"/>
                <a:ext cx="819150" cy="3437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a:t>南（０度）</a:t>
                </a:r>
              </a:p>
            </xdr:txBody>
          </xdr:sp>
          <xdr:sp macro="" textlink="">
            <xdr:nvSpPr>
              <xdr:cNvPr id="98" name="テキスト ボックス 97"/>
              <xdr:cNvSpPr txBox="1"/>
            </xdr:nvSpPr>
            <xdr:spPr>
              <a:xfrm>
                <a:off x="13246578" y="24890201"/>
                <a:ext cx="726598" cy="57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a:t>西</a:t>
                </a:r>
                <a:endParaRPr kumimoji="1" lang="en-US" altLang="ja-JP" sz="1100"/>
              </a:p>
              <a:p>
                <a:pPr algn="ctr"/>
                <a:r>
                  <a:rPr kumimoji="1" lang="ja-JP" altLang="en-US" sz="1100"/>
                  <a:t>（９０度）</a:t>
                </a:r>
              </a:p>
            </xdr:txBody>
          </xdr:sp>
          <xdr:sp macro="" textlink="">
            <xdr:nvSpPr>
              <xdr:cNvPr id="99" name="テキスト ボックス 98"/>
              <xdr:cNvSpPr txBox="1"/>
            </xdr:nvSpPr>
            <xdr:spPr>
              <a:xfrm>
                <a:off x="14582774" y="24892389"/>
                <a:ext cx="730729" cy="57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a:t>東</a:t>
                </a:r>
                <a:endParaRPr kumimoji="1" lang="en-US" altLang="ja-JP" sz="1100"/>
              </a:p>
              <a:p>
                <a:pPr algn="ctr"/>
                <a:r>
                  <a:rPr kumimoji="1" lang="ja-JP" altLang="en-US" sz="1100"/>
                  <a:t>（９０度）</a:t>
                </a:r>
              </a:p>
            </xdr:txBody>
          </xdr:sp>
        </xdr:grpSp>
        <xdr:sp macro="" textlink="">
          <xdr:nvSpPr>
            <xdr:cNvPr id="104" name="テキスト ボックス 103"/>
            <xdr:cNvSpPr txBox="1"/>
          </xdr:nvSpPr>
          <xdr:spPr>
            <a:xfrm>
              <a:off x="16269428" y="25588370"/>
              <a:ext cx="734411" cy="292452"/>
            </a:xfrm>
            <a:prstGeom prst="rect">
              <a:avLst/>
            </a:prstGeom>
            <a:noFill/>
            <a:ln w="9525"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r>
                <a:rPr kumimoji="1" lang="ja-JP" altLang="en-US" sz="1200" b="1">
                  <a:solidFill>
                    <a:srgbClr val="0000FF"/>
                  </a:solidFill>
                  <a:latin typeface="+mn-ea"/>
                  <a:ea typeface="+mn-ea"/>
                </a:rPr>
                <a:t>方位角</a:t>
              </a:r>
              <a:endParaRPr kumimoji="1" lang="ja-JP" altLang="en-US" sz="1200" b="1">
                <a:latin typeface="+mn-ea"/>
                <a:ea typeface="+mn-ea"/>
              </a:endParaRPr>
            </a:p>
          </xdr:txBody>
        </xdr:sp>
      </xdr:grpSp>
    </xdr:grpSp>
    <xdr:clientData/>
  </xdr:twoCellAnchor>
  <xdr:twoCellAnchor>
    <xdr:from>
      <xdr:col>4</xdr:col>
      <xdr:colOff>559173</xdr:colOff>
      <xdr:row>10</xdr:row>
      <xdr:rowOff>44823</xdr:rowOff>
    </xdr:from>
    <xdr:to>
      <xdr:col>4</xdr:col>
      <xdr:colOff>559173</xdr:colOff>
      <xdr:row>10</xdr:row>
      <xdr:rowOff>235323</xdr:rowOff>
    </xdr:to>
    <xdr:cxnSp macro="">
      <xdr:nvCxnSpPr>
        <xdr:cNvPr id="110" name="直線矢印コネクタ 109"/>
        <xdr:cNvCxnSpPr/>
      </xdr:nvCxnSpPr>
      <xdr:spPr>
        <a:xfrm>
          <a:off x="5855073" y="1835523"/>
          <a:ext cx="0" cy="190500"/>
        </a:xfrm>
        <a:prstGeom prst="straightConnector1">
          <a:avLst/>
        </a:prstGeom>
        <a:ln w="25400">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3142128</xdr:colOff>
      <xdr:row>134</xdr:row>
      <xdr:rowOff>129403</xdr:rowOff>
    </xdr:from>
    <xdr:ext cx="553571" cy="275717"/>
    <xdr:sp macro="" textlink="">
      <xdr:nvSpPr>
        <xdr:cNvPr id="113" name="テキスト ボックス 112"/>
        <xdr:cNvSpPr txBox="1"/>
      </xdr:nvSpPr>
      <xdr:spPr>
        <a:xfrm>
          <a:off x="3637428" y="29218753"/>
          <a:ext cx="553571" cy="27571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en-US" altLang="ja-JP" sz="1100"/>
            <a:t>※</a:t>
          </a:r>
          <a:r>
            <a:rPr kumimoji="1" lang="ja-JP" altLang="en-US" sz="1100"/>
            <a:t>１６</a:t>
          </a:r>
        </a:p>
      </xdr:txBody>
    </xdr:sp>
    <xdr:clientData/>
  </xdr:oneCellAnchor>
  <xdr:twoCellAnchor>
    <xdr:from>
      <xdr:col>1</xdr:col>
      <xdr:colOff>2997574</xdr:colOff>
      <xdr:row>133</xdr:row>
      <xdr:rowOff>43143</xdr:rowOff>
    </xdr:from>
    <xdr:to>
      <xdr:col>1</xdr:col>
      <xdr:colOff>3204285</xdr:colOff>
      <xdr:row>137</xdr:row>
      <xdr:rowOff>143995</xdr:rowOff>
    </xdr:to>
    <xdr:sp macro="" textlink="">
      <xdr:nvSpPr>
        <xdr:cNvPr id="112" name="右中かっこ 111"/>
        <xdr:cNvSpPr/>
      </xdr:nvSpPr>
      <xdr:spPr>
        <a:xfrm>
          <a:off x="3492874" y="28961043"/>
          <a:ext cx="206711" cy="786652"/>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1009650</xdr:colOff>
      <xdr:row>293</xdr:row>
      <xdr:rowOff>457200</xdr:rowOff>
    </xdr:from>
    <xdr:to>
      <xdr:col>1</xdr:col>
      <xdr:colOff>1162050</xdr:colOff>
      <xdr:row>293</xdr:row>
      <xdr:rowOff>971550</xdr:rowOff>
    </xdr:to>
    <xdr:sp macro="" textlink="">
      <xdr:nvSpPr>
        <xdr:cNvPr id="5" name="左中かっこ 4"/>
        <xdr:cNvSpPr/>
      </xdr:nvSpPr>
      <xdr:spPr>
        <a:xfrm>
          <a:off x="1504950" y="57416700"/>
          <a:ext cx="152400" cy="5143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590551</xdr:colOff>
      <xdr:row>293</xdr:row>
      <xdr:rowOff>247649</xdr:rowOff>
    </xdr:from>
    <xdr:to>
      <xdr:col>1</xdr:col>
      <xdr:colOff>914401</xdr:colOff>
      <xdr:row>293</xdr:row>
      <xdr:rowOff>723900</xdr:rowOff>
    </xdr:to>
    <xdr:grpSp>
      <xdr:nvGrpSpPr>
        <xdr:cNvPr id="122" name="グループ化 121"/>
        <xdr:cNvGrpSpPr/>
      </xdr:nvGrpSpPr>
      <xdr:grpSpPr>
        <a:xfrm>
          <a:off x="1054101" y="55752999"/>
          <a:ext cx="323850" cy="476251"/>
          <a:chOff x="495300" y="57207150"/>
          <a:chExt cx="561975" cy="514350"/>
        </a:xfrm>
      </xdr:grpSpPr>
      <xdr:cxnSp macro="">
        <xdr:nvCxnSpPr>
          <xdr:cNvPr id="108" name="直線コネクタ 107"/>
          <xdr:cNvCxnSpPr/>
        </xdr:nvCxnSpPr>
        <xdr:spPr>
          <a:xfrm>
            <a:off x="495300" y="57207150"/>
            <a:ext cx="9525" cy="5048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直線矢印コネクタ 110"/>
          <xdr:cNvCxnSpPr/>
        </xdr:nvCxnSpPr>
        <xdr:spPr>
          <a:xfrm>
            <a:off x="504825" y="57721500"/>
            <a:ext cx="55245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8</xdr:col>
      <xdr:colOff>143994</xdr:colOff>
      <xdr:row>74</xdr:row>
      <xdr:rowOff>109584</xdr:rowOff>
    </xdr:from>
    <xdr:ext cx="437032" cy="338088"/>
    <xdr:sp macro="" textlink="">
      <xdr:nvSpPr>
        <xdr:cNvPr id="140" name="テキスト ボックス 139"/>
        <xdr:cNvSpPr txBox="1"/>
      </xdr:nvSpPr>
      <xdr:spPr>
        <a:xfrm>
          <a:off x="7916394" y="18159459"/>
          <a:ext cx="437032" cy="338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r>
            <a:rPr kumimoji="1" lang="en-US" altLang="ja-JP" sz="1100"/>
            <a:t>※</a:t>
          </a:r>
          <a:r>
            <a:rPr kumimoji="1" lang="ja-JP" altLang="en-US" sz="1100"/>
            <a:t>６</a:t>
          </a:r>
        </a:p>
      </xdr:txBody>
    </xdr:sp>
    <xdr:clientData/>
  </xdr:oneCellAnchor>
  <xdr:twoCellAnchor>
    <xdr:from>
      <xdr:col>7</xdr:col>
      <xdr:colOff>219075</xdr:colOff>
      <xdr:row>71</xdr:row>
      <xdr:rowOff>56030</xdr:rowOff>
    </xdr:from>
    <xdr:to>
      <xdr:col>8</xdr:col>
      <xdr:colOff>106456</xdr:colOff>
      <xdr:row>94</xdr:row>
      <xdr:rowOff>134471</xdr:rowOff>
    </xdr:to>
    <xdr:sp macro="" textlink="">
      <xdr:nvSpPr>
        <xdr:cNvPr id="141" name="右中かっこ 140"/>
        <xdr:cNvSpPr/>
      </xdr:nvSpPr>
      <xdr:spPr>
        <a:xfrm>
          <a:off x="7486650" y="17591555"/>
          <a:ext cx="392206" cy="4059891"/>
        </a:xfrm>
        <a:prstGeom prst="rightBrace">
          <a:avLst>
            <a:gd name="adj1" fmla="val 8333"/>
            <a:gd name="adj2" fmla="val 18093"/>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71155</xdr:colOff>
      <xdr:row>1</xdr:row>
      <xdr:rowOff>80207</xdr:rowOff>
    </xdr:from>
    <xdr:to>
      <xdr:col>21</xdr:col>
      <xdr:colOff>449915</xdr:colOff>
      <xdr:row>23</xdr:row>
      <xdr:rowOff>349753</xdr:rowOff>
    </xdr:to>
    <xdr:grpSp>
      <xdr:nvGrpSpPr>
        <xdr:cNvPr id="2" name="グループ化 1"/>
        <xdr:cNvGrpSpPr/>
      </xdr:nvGrpSpPr>
      <xdr:grpSpPr>
        <a:xfrm>
          <a:off x="10923305" y="245307"/>
          <a:ext cx="11421410" cy="7470446"/>
          <a:chOff x="11658037" y="248295"/>
          <a:chExt cx="12413878" cy="6928500"/>
        </a:xfrm>
      </xdr:grpSpPr>
      <xdr:pic>
        <xdr:nvPicPr>
          <xdr:cNvPr id="3" name="図 2"/>
          <xdr:cNvPicPr>
            <a:picLocks noChangeAspect="1"/>
          </xdr:cNvPicPr>
        </xdr:nvPicPr>
        <xdr:blipFill rotWithShape="1">
          <a:blip xmlns:r="http://schemas.openxmlformats.org/officeDocument/2006/relationships" r:embed="rId1"/>
          <a:srcRect l="5366" t="17317" r="55984" b="31658"/>
          <a:stretch/>
        </xdr:blipFill>
        <xdr:spPr>
          <a:xfrm>
            <a:off x="17002122" y="1177279"/>
            <a:ext cx="7022167" cy="5624863"/>
          </a:xfrm>
          <a:prstGeom prst="rect">
            <a:avLst/>
          </a:prstGeom>
        </xdr:spPr>
      </xdr:pic>
      <xdr:pic>
        <xdr:nvPicPr>
          <xdr:cNvPr id="4" name="図 3"/>
          <xdr:cNvPicPr>
            <a:picLocks noChangeAspect="1"/>
          </xdr:cNvPicPr>
        </xdr:nvPicPr>
        <xdr:blipFill rotWithShape="1">
          <a:blip xmlns:r="http://schemas.openxmlformats.org/officeDocument/2006/relationships" r:embed="rId2"/>
          <a:srcRect l="7449" t="20929" r="64005" b="32677"/>
          <a:stretch/>
        </xdr:blipFill>
        <xdr:spPr>
          <a:xfrm>
            <a:off x="11658037" y="1177279"/>
            <a:ext cx="5258361" cy="5305558"/>
          </a:xfrm>
          <a:prstGeom prst="rect">
            <a:avLst/>
          </a:prstGeom>
        </xdr:spPr>
      </xdr:pic>
      <xdr:sp macro="" textlink="">
        <xdr:nvSpPr>
          <xdr:cNvPr id="5" name="正方形/長方形 4"/>
          <xdr:cNvSpPr/>
        </xdr:nvSpPr>
        <xdr:spPr>
          <a:xfrm>
            <a:off x="14878048" y="5695386"/>
            <a:ext cx="1355912" cy="185200"/>
          </a:xfrm>
          <a:prstGeom prst="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4878048" y="5912810"/>
            <a:ext cx="1355912" cy="188929"/>
          </a:xfrm>
          <a:prstGeom prst="rect">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1862545" y="4874636"/>
            <a:ext cx="2996453" cy="262181"/>
          </a:xfrm>
          <a:prstGeom prst="rect">
            <a:avLst/>
          </a:prstGeom>
          <a:solidFill>
            <a:srgbClr val="FFFF00"/>
          </a:solidFill>
          <a:ln w="2540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b="1">
                <a:solidFill>
                  <a:srgbClr val="0000FF"/>
                </a:solidFill>
              </a:rPr>
              <a:t>出力制御ユニット・監視装置製造番号です。</a:t>
            </a:r>
            <a:endParaRPr kumimoji="1" lang="en-US" altLang="ja-JP" sz="1100" b="1">
              <a:solidFill>
                <a:srgbClr val="0000FF"/>
              </a:solidFill>
            </a:endParaRPr>
          </a:p>
        </xdr:txBody>
      </xdr:sp>
      <xdr:cxnSp macro="">
        <xdr:nvCxnSpPr>
          <xdr:cNvPr id="8" name="直線矢印コネクタ 7"/>
          <xdr:cNvCxnSpPr/>
        </xdr:nvCxnSpPr>
        <xdr:spPr>
          <a:xfrm>
            <a:off x="14631518" y="5188875"/>
            <a:ext cx="237005" cy="491844"/>
          </a:xfrm>
          <a:prstGeom prst="straightConnector1">
            <a:avLst/>
          </a:prstGeom>
          <a:ln w="254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 name="テキスト ボックス 8"/>
          <xdr:cNvSpPr txBox="1"/>
        </xdr:nvSpPr>
        <xdr:spPr>
          <a:xfrm>
            <a:off x="11834531" y="6667864"/>
            <a:ext cx="2995893" cy="508931"/>
          </a:xfrm>
          <a:prstGeom prst="rect">
            <a:avLst/>
          </a:prstGeom>
          <a:solidFill>
            <a:srgbClr val="FFFF00"/>
          </a:solidFill>
          <a:ln w="25400" cmpd="sng">
            <a:solidFill>
              <a:srgbClr val="0000FF"/>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1100" b="1">
                <a:solidFill>
                  <a:srgbClr val="0000FF"/>
                </a:solidFill>
              </a:rPr>
              <a:t>MAC</a:t>
            </a:r>
            <a:r>
              <a:rPr kumimoji="1" lang="ja-JP" altLang="en-US" sz="1100" b="1">
                <a:solidFill>
                  <a:srgbClr val="0000FF"/>
                </a:solidFill>
              </a:rPr>
              <a:t>アドレスです。</a:t>
            </a:r>
            <a:endParaRPr kumimoji="1" lang="en-US" altLang="ja-JP" sz="1100" b="1">
              <a:solidFill>
                <a:srgbClr val="0000FF"/>
              </a:solidFill>
            </a:endParaRPr>
          </a:p>
          <a:p>
            <a:r>
              <a:rPr kumimoji="1" lang="ja-JP" altLang="en-US" sz="1100" b="1">
                <a:solidFill>
                  <a:srgbClr val="0000FF"/>
                </a:solidFill>
              </a:rPr>
              <a:t>”：”を除き右から６桁の英数字を記入願います。</a:t>
            </a:r>
          </a:p>
        </xdr:txBody>
      </xdr:sp>
      <xdr:cxnSp macro="">
        <xdr:nvCxnSpPr>
          <xdr:cNvPr id="10" name="直線矢印コネクタ 9"/>
          <xdr:cNvCxnSpPr/>
        </xdr:nvCxnSpPr>
        <xdr:spPr>
          <a:xfrm flipV="1">
            <a:off x="14716683" y="6088792"/>
            <a:ext cx="170890" cy="579073"/>
          </a:xfrm>
          <a:prstGeom prst="straightConnector1">
            <a:avLst/>
          </a:prstGeom>
          <a:ln w="25400">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 name="テキスト ボックス 10"/>
          <xdr:cNvSpPr txBox="1"/>
        </xdr:nvSpPr>
        <xdr:spPr>
          <a:xfrm>
            <a:off x="17077762" y="5466487"/>
            <a:ext cx="4289052" cy="1586379"/>
          </a:xfrm>
          <a:prstGeom prst="rect">
            <a:avLst/>
          </a:prstGeom>
          <a:solidFill>
            <a:srgbClr val="FFFF00"/>
          </a:solidFill>
          <a:ln w="25400" cmpd="sng">
            <a:solidFill>
              <a:srgbClr val="0099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200" b="1">
                <a:solidFill>
                  <a:srgbClr val="0000FF"/>
                </a:solidFill>
              </a:rPr>
              <a:t>型名の（　　　）内の記載が監視サービス種別を表します。</a:t>
            </a:r>
            <a:endParaRPr kumimoji="1" lang="en-US" altLang="ja-JP" sz="1200" b="1">
              <a:solidFill>
                <a:srgbClr val="0000FF"/>
              </a:solidFill>
            </a:endParaRPr>
          </a:p>
          <a:p>
            <a:r>
              <a:rPr kumimoji="1" lang="ja-JP" altLang="en-US" sz="1200" b="1">
                <a:solidFill>
                  <a:srgbClr val="0000FF"/>
                </a:solidFill>
              </a:rPr>
              <a:t>　●</a:t>
            </a:r>
            <a:r>
              <a:rPr kumimoji="1" lang="en-US" altLang="ja-JP" sz="1600" b="1">
                <a:solidFill>
                  <a:srgbClr val="0000FF"/>
                </a:solidFill>
              </a:rPr>
              <a:t>U30P</a:t>
            </a:r>
            <a:r>
              <a:rPr kumimoji="1" lang="ja-JP" altLang="en-US" sz="1200" b="1">
                <a:solidFill>
                  <a:srgbClr val="0000FF"/>
                </a:solidFill>
              </a:rPr>
              <a:t>　・・・　ローカル監視サービス</a:t>
            </a:r>
            <a:endParaRPr kumimoji="1" lang="en-US" altLang="ja-JP" sz="1200" b="1">
              <a:solidFill>
                <a:srgbClr val="0000FF"/>
              </a:solidFill>
            </a:endParaRPr>
          </a:p>
          <a:p>
            <a:r>
              <a:rPr kumimoji="1" lang="ja-JP" altLang="en-US" sz="1200" b="1">
                <a:solidFill>
                  <a:srgbClr val="0000FF"/>
                </a:solidFill>
              </a:rPr>
              <a:t>　●</a:t>
            </a:r>
            <a:r>
              <a:rPr kumimoji="1" lang="en-US" altLang="ja-JP" sz="1600" b="1">
                <a:solidFill>
                  <a:srgbClr val="0000FF"/>
                </a:solidFill>
                <a:effectLst/>
                <a:latin typeface="+mn-lt"/>
                <a:ea typeface="+mn-ea"/>
                <a:cs typeface="+mn-cs"/>
              </a:rPr>
              <a:t>U050</a:t>
            </a:r>
            <a:r>
              <a:rPr kumimoji="1" lang="ja-JP" altLang="en-US" sz="1200" b="1">
                <a:solidFill>
                  <a:srgbClr val="0000FF"/>
                </a:solidFill>
              </a:rPr>
              <a:t>　・・・　クラウド監視サービス　</a:t>
            </a:r>
            <a:r>
              <a:rPr kumimoji="1" lang="en-US" altLang="ja-JP" sz="1400" b="1">
                <a:solidFill>
                  <a:srgbClr val="0000FF"/>
                </a:solidFill>
              </a:rPr>
              <a:t>U-50kW</a:t>
            </a:r>
          </a:p>
          <a:p>
            <a:r>
              <a:rPr kumimoji="1" lang="ja-JP" altLang="en-US" sz="1200" b="1">
                <a:solidFill>
                  <a:srgbClr val="0000FF"/>
                </a:solidFill>
                <a:effectLst/>
                <a:latin typeface="+mn-lt"/>
                <a:ea typeface="+mn-ea"/>
                <a:cs typeface="+mn-cs"/>
              </a:rPr>
              <a:t>　●</a:t>
            </a:r>
            <a:r>
              <a:rPr kumimoji="1" lang="en-US" altLang="ja-JP" sz="1600" b="1">
                <a:solidFill>
                  <a:srgbClr val="0000FF"/>
                </a:solidFill>
                <a:effectLst/>
                <a:latin typeface="+mn-lt"/>
                <a:ea typeface="+mn-ea"/>
                <a:cs typeface="+mn-cs"/>
              </a:rPr>
              <a:t>U150</a:t>
            </a:r>
            <a:r>
              <a:rPr kumimoji="1" lang="ja-JP" altLang="en-US" sz="1200" b="1">
                <a:solidFill>
                  <a:srgbClr val="0000FF"/>
                </a:solidFill>
                <a:effectLst/>
                <a:latin typeface="+mn-lt"/>
                <a:ea typeface="+mn-ea"/>
                <a:cs typeface="+mn-cs"/>
              </a:rPr>
              <a:t>　・・・　クラウド</a:t>
            </a:r>
            <a:r>
              <a:rPr kumimoji="1" lang="ja-JP" altLang="ja-JP" sz="1200" b="1">
                <a:solidFill>
                  <a:srgbClr val="0000FF"/>
                </a:solidFill>
                <a:effectLst/>
                <a:latin typeface="+mn-lt"/>
                <a:ea typeface="+mn-ea"/>
                <a:cs typeface="+mn-cs"/>
              </a:rPr>
              <a:t>監視</a:t>
            </a:r>
            <a:r>
              <a:rPr kumimoji="1" lang="ja-JP" altLang="en-US" sz="1200" b="1">
                <a:solidFill>
                  <a:srgbClr val="0000FF"/>
                </a:solidFill>
                <a:effectLst/>
                <a:latin typeface="+mn-lt"/>
                <a:ea typeface="+mn-ea"/>
                <a:cs typeface="+mn-cs"/>
              </a:rPr>
              <a:t>サービス　</a:t>
            </a:r>
            <a:r>
              <a:rPr kumimoji="1" lang="en-US" altLang="ja-JP" sz="1400" b="1">
                <a:solidFill>
                  <a:srgbClr val="0000FF"/>
                </a:solidFill>
                <a:effectLst/>
                <a:latin typeface="+mn-lt"/>
                <a:ea typeface="+mn-ea"/>
                <a:cs typeface="+mn-cs"/>
              </a:rPr>
              <a:t>U-150kW</a:t>
            </a:r>
            <a:endParaRPr lang="ja-JP" altLang="ja-JP" sz="1400" b="1">
              <a:solidFill>
                <a:srgbClr val="0000FF"/>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　●</a:t>
            </a:r>
            <a:r>
              <a:rPr kumimoji="1" lang="en-US" altLang="ja-JP" sz="1600" b="1">
                <a:solidFill>
                  <a:srgbClr val="0000FF"/>
                </a:solidFill>
                <a:effectLst/>
                <a:latin typeface="+mn-lt"/>
                <a:ea typeface="+mn-ea"/>
                <a:cs typeface="+mn-cs"/>
              </a:rPr>
              <a:t>U300</a:t>
            </a:r>
            <a:r>
              <a:rPr kumimoji="1" lang="ja-JP" altLang="en-US" sz="1200" b="1">
                <a:solidFill>
                  <a:srgbClr val="0000FF"/>
                </a:solidFill>
                <a:effectLst/>
                <a:latin typeface="+mn-lt"/>
                <a:ea typeface="+mn-ea"/>
                <a:cs typeface="+mn-cs"/>
              </a:rPr>
              <a:t>　・・・　クラウド</a:t>
            </a:r>
            <a:r>
              <a:rPr kumimoji="1" lang="ja-JP" altLang="ja-JP" sz="1200" b="1">
                <a:solidFill>
                  <a:srgbClr val="0000FF"/>
                </a:solidFill>
                <a:effectLst/>
                <a:latin typeface="+mn-lt"/>
                <a:ea typeface="+mn-ea"/>
                <a:cs typeface="+mn-cs"/>
              </a:rPr>
              <a:t>監視</a:t>
            </a:r>
            <a:r>
              <a:rPr kumimoji="1" lang="ja-JP" altLang="en-US" sz="1200" b="1">
                <a:solidFill>
                  <a:srgbClr val="0000FF"/>
                </a:solidFill>
                <a:effectLst/>
                <a:latin typeface="+mn-lt"/>
                <a:ea typeface="+mn-ea"/>
                <a:cs typeface="+mn-cs"/>
              </a:rPr>
              <a:t>サービス　</a:t>
            </a:r>
            <a:r>
              <a:rPr kumimoji="1" lang="en-US" altLang="ja-JP" sz="1400" b="1">
                <a:solidFill>
                  <a:srgbClr val="0000FF"/>
                </a:solidFill>
                <a:effectLst/>
                <a:latin typeface="+mn-lt"/>
                <a:ea typeface="+mn-ea"/>
                <a:cs typeface="+mn-cs"/>
              </a:rPr>
              <a:t>U-300kW</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0000FF"/>
                </a:solidFill>
                <a:effectLst/>
                <a:latin typeface="+mn-lt"/>
                <a:ea typeface="+mn-ea"/>
                <a:cs typeface="+mn-cs"/>
              </a:rPr>
              <a:t>　</a:t>
            </a:r>
            <a:r>
              <a:rPr kumimoji="1" lang="ja-JP" altLang="ja-JP" sz="1200" b="1">
                <a:solidFill>
                  <a:srgbClr val="0000FF"/>
                </a:solidFill>
                <a:effectLst/>
                <a:latin typeface="+mn-ea"/>
                <a:ea typeface="+mn-ea"/>
                <a:cs typeface="+mn-cs"/>
              </a:rPr>
              <a:t>●</a:t>
            </a:r>
            <a:r>
              <a:rPr kumimoji="1" lang="en-US" altLang="ja-JP" sz="1600" b="1">
                <a:solidFill>
                  <a:srgbClr val="0000FF"/>
                </a:solidFill>
                <a:effectLst/>
                <a:latin typeface="+mn-lt"/>
                <a:ea typeface="+mn-ea"/>
                <a:cs typeface="+mn-cs"/>
              </a:rPr>
              <a:t>Combi</a:t>
            </a:r>
            <a:r>
              <a:rPr kumimoji="1" lang="ja-JP" altLang="ja-JP" sz="1200" b="1">
                <a:solidFill>
                  <a:srgbClr val="0000FF"/>
                </a:solidFill>
                <a:effectLst/>
                <a:latin typeface="+mn-ea"/>
                <a:ea typeface="+mn-ea"/>
                <a:cs typeface="+mn-cs"/>
              </a:rPr>
              <a:t>　・・・　クラウド</a:t>
            </a:r>
            <a:r>
              <a:rPr kumimoji="1" lang="ja-JP" altLang="en-US" sz="1200" b="1">
                <a:solidFill>
                  <a:srgbClr val="0000FF"/>
                </a:solidFill>
                <a:effectLst/>
                <a:latin typeface="+mn-ea"/>
                <a:ea typeface="+mn-ea"/>
                <a:cs typeface="+mn-cs"/>
              </a:rPr>
              <a:t>区画分譲オプション</a:t>
            </a:r>
            <a:r>
              <a:rPr kumimoji="1" lang="ja-JP" altLang="ja-JP" sz="1200" b="1">
                <a:solidFill>
                  <a:srgbClr val="0000FF"/>
                </a:solidFill>
                <a:effectLst/>
                <a:latin typeface="+mn-ea"/>
                <a:ea typeface="+mn-ea"/>
                <a:cs typeface="+mn-cs"/>
              </a:rPr>
              <a:t>サービス</a:t>
            </a:r>
            <a:endParaRPr lang="ja-JP" altLang="ja-JP" sz="1400" b="1">
              <a:solidFill>
                <a:srgbClr val="0000FF"/>
              </a:solidFill>
              <a:effectLst/>
            </a:endParaRPr>
          </a:p>
        </xdr:txBody>
      </xdr:sp>
      <xdr:cxnSp macro="">
        <xdr:nvCxnSpPr>
          <xdr:cNvPr id="12" name="直線矢印コネクタ 11"/>
          <xdr:cNvCxnSpPr/>
        </xdr:nvCxnSpPr>
        <xdr:spPr>
          <a:xfrm flipV="1">
            <a:off x="17637496" y="3933727"/>
            <a:ext cx="1092014" cy="1528845"/>
          </a:xfrm>
          <a:prstGeom prst="straightConnector1">
            <a:avLst/>
          </a:prstGeom>
          <a:ln w="25400" cmpd="sng">
            <a:solidFill>
              <a:srgbClr val="0099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3" name="角丸四角形 12"/>
          <xdr:cNvSpPr/>
        </xdr:nvSpPr>
        <xdr:spPr>
          <a:xfrm>
            <a:off x="15589061" y="1184215"/>
            <a:ext cx="1318372" cy="437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ctr"/>
            <a:r>
              <a:rPr kumimoji="1" lang="ja-JP" altLang="en-US" sz="1800" b="1">
                <a:solidFill>
                  <a:srgbClr val="FF0000"/>
                </a:solidFill>
              </a:rPr>
              <a:t>サンプル</a:t>
            </a:r>
          </a:p>
        </xdr:txBody>
      </xdr:sp>
      <xdr:sp macro="" textlink="">
        <xdr:nvSpPr>
          <xdr:cNvPr id="14" name="角丸四角形 13"/>
          <xdr:cNvSpPr/>
        </xdr:nvSpPr>
        <xdr:spPr>
          <a:xfrm>
            <a:off x="22672860" y="1200408"/>
            <a:ext cx="1313890" cy="440637"/>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ctr"/>
            <a:r>
              <a:rPr kumimoji="1" lang="ja-JP" altLang="en-US" sz="1800" b="1">
                <a:solidFill>
                  <a:srgbClr val="FF0000"/>
                </a:solidFill>
              </a:rPr>
              <a:t>サンプル</a:t>
            </a:r>
          </a:p>
        </xdr:txBody>
      </xdr:sp>
      <xdr:sp macro="" textlink="">
        <xdr:nvSpPr>
          <xdr:cNvPr id="15" name="正方形/長方形 14"/>
          <xdr:cNvSpPr/>
        </xdr:nvSpPr>
        <xdr:spPr>
          <a:xfrm>
            <a:off x="18710460" y="3711979"/>
            <a:ext cx="493059" cy="245816"/>
          </a:xfrm>
          <a:prstGeom prst="rect">
            <a:avLst/>
          </a:prstGeom>
          <a:noFill/>
          <a:ln cmpd="sng">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15"/>
          <xdr:cNvSpPr/>
        </xdr:nvSpPr>
        <xdr:spPr>
          <a:xfrm>
            <a:off x="17077763" y="1667440"/>
            <a:ext cx="3031750" cy="1097447"/>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物品送付書による</a:t>
            </a:r>
            <a:endParaRPr kumimoji="1" lang="en-US" altLang="ja-JP" sz="1200" b="1">
              <a:solidFill>
                <a:srgbClr val="0000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　●</a:t>
            </a:r>
            <a:r>
              <a:rPr kumimoji="1" lang="ja-JP" altLang="ja-JP" sz="1200" b="1">
                <a:solidFill>
                  <a:srgbClr val="0000FF"/>
                </a:solidFill>
                <a:effectLst/>
                <a:latin typeface="+mn-lt"/>
                <a:ea typeface="+mn-ea"/>
                <a:cs typeface="+mn-cs"/>
              </a:rPr>
              <a:t>監視サービス種別</a:t>
            </a:r>
            <a:endParaRPr kumimoji="1" lang="en-US" altLang="ja-JP" sz="1200" b="1">
              <a:solidFill>
                <a:srgbClr val="0000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　●</a:t>
            </a:r>
            <a:r>
              <a:rPr kumimoji="1" lang="ja-JP" altLang="ja-JP" sz="1200" b="1">
                <a:solidFill>
                  <a:srgbClr val="0000FF"/>
                </a:solidFill>
                <a:effectLst/>
                <a:latin typeface="+mn-lt"/>
                <a:ea typeface="+mn-ea"/>
                <a:cs typeface="+mn-cs"/>
              </a:rPr>
              <a:t>出力制御ユニット・監視装置製造番号</a:t>
            </a:r>
            <a:endParaRPr kumimoji="1" lang="en-US" altLang="ja-JP" sz="1200" b="1">
              <a:solidFill>
                <a:srgbClr val="0000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200" b="1">
                <a:solidFill>
                  <a:srgbClr val="0000FF"/>
                </a:solidFill>
                <a:effectLst/>
                <a:latin typeface="+mn-lt"/>
                <a:ea typeface="+mn-ea"/>
                <a:cs typeface="+mn-cs"/>
              </a:rPr>
              <a:t>確認例</a:t>
            </a:r>
            <a:endParaRPr kumimoji="1" lang="en-US" altLang="ja-JP" sz="1200" b="1">
              <a:solidFill>
                <a:srgbClr val="0000FF"/>
              </a:solidFill>
              <a:effectLst/>
              <a:latin typeface="+mn-lt"/>
              <a:ea typeface="+mn-ea"/>
              <a:cs typeface="+mn-cs"/>
            </a:endParaRPr>
          </a:p>
        </xdr:txBody>
      </xdr:sp>
      <xdr:sp macro="" textlink="">
        <xdr:nvSpPr>
          <xdr:cNvPr id="17" name="角丸四角形 16"/>
          <xdr:cNvSpPr/>
        </xdr:nvSpPr>
        <xdr:spPr>
          <a:xfrm>
            <a:off x="11786905" y="1768189"/>
            <a:ext cx="3005978" cy="1099128"/>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r>
              <a:rPr kumimoji="1" lang="ja-JP" altLang="en-US" sz="1200" b="1">
                <a:solidFill>
                  <a:srgbClr val="0000FF"/>
                </a:solidFill>
                <a:effectLst/>
                <a:latin typeface="+mn-lt"/>
                <a:ea typeface="+mn-ea"/>
                <a:cs typeface="+mn-cs"/>
              </a:rPr>
              <a:t>検査成績書による</a:t>
            </a:r>
            <a:endParaRPr kumimoji="1" lang="en-US" altLang="ja-JP" sz="1200" b="1">
              <a:solidFill>
                <a:srgbClr val="0000FF"/>
              </a:solidFill>
              <a:effectLst/>
              <a:latin typeface="+mn-lt"/>
              <a:ea typeface="+mn-ea"/>
              <a:cs typeface="+mn-cs"/>
            </a:endParaRPr>
          </a:p>
          <a:p>
            <a:r>
              <a:rPr kumimoji="1" lang="ja-JP" altLang="en-US" sz="1200" b="1">
                <a:solidFill>
                  <a:srgbClr val="0000FF"/>
                </a:solidFill>
                <a:effectLst/>
                <a:latin typeface="+mn-lt"/>
                <a:ea typeface="+mn-ea"/>
                <a:cs typeface="+mn-cs"/>
              </a:rPr>
              <a:t>　●</a:t>
            </a:r>
            <a:r>
              <a:rPr kumimoji="1" lang="ja-JP" altLang="ja-JP" sz="1200" b="1">
                <a:solidFill>
                  <a:srgbClr val="0000FF"/>
                </a:solidFill>
                <a:effectLst/>
                <a:latin typeface="+mn-lt"/>
                <a:ea typeface="+mn-ea"/>
                <a:cs typeface="+mn-cs"/>
              </a:rPr>
              <a:t>出力制御ユニット・監視装置製造番号</a:t>
            </a:r>
            <a:endParaRPr kumimoji="1" lang="en-US" altLang="ja-JP" sz="1200" b="1">
              <a:solidFill>
                <a:srgbClr val="0000FF"/>
              </a:solidFill>
              <a:effectLst/>
              <a:latin typeface="+mn-lt"/>
              <a:ea typeface="+mn-ea"/>
              <a:cs typeface="+mn-cs"/>
            </a:endParaRPr>
          </a:p>
          <a:p>
            <a:r>
              <a:rPr kumimoji="1" lang="ja-JP" altLang="en-US" sz="1200" b="1">
                <a:solidFill>
                  <a:srgbClr val="0000FF"/>
                </a:solidFill>
                <a:effectLst/>
                <a:latin typeface="+mn-lt"/>
                <a:ea typeface="+mn-ea"/>
                <a:cs typeface="+mn-cs"/>
              </a:rPr>
              <a:t>　●</a:t>
            </a:r>
            <a:r>
              <a:rPr kumimoji="1" lang="en-US" altLang="ja-JP" sz="1200" b="1">
                <a:solidFill>
                  <a:srgbClr val="0000FF"/>
                </a:solidFill>
                <a:effectLst/>
                <a:latin typeface="+mn-lt"/>
                <a:ea typeface="+mn-ea"/>
                <a:cs typeface="+mn-cs"/>
              </a:rPr>
              <a:t>MAC</a:t>
            </a:r>
            <a:r>
              <a:rPr kumimoji="1" lang="ja-JP" altLang="en-US" sz="1200" b="1">
                <a:solidFill>
                  <a:srgbClr val="0000FF"/>
                </a:solidFill>
                <a:effectLst/>
                <a:latin typeface="+mn-lt"/>
                <a:ea typeface="+mn-ea"/>
                <a:cs typeface="+mn-cs"/>
              </a:rPr>
              <a:t>アドレス</a:t>
            </a:r>
            <a:endParaRPr kumimoji="1" lang="en-US" altLang="ja-JP" sz="1200" b="1">
              <a:solidFill>
                <a:srgbClr val="0000FF"/>
              </a:solidFill>
              <a:effectLst/>
              <a:latin typeface="+mn-lt"/>
              <a:ea typeface="+mn-ea"/>
              <a:cs typeface="+mn-cs"/>
            </a:endParaRPr>
          </a:p>
          <a:p>
            <a:r>
              <a:rPr kumimoji="1" lang="ja-JP" altLang="en-US" sz="1200" b="1">
                <a:solidFill>
                  <a:srgbClr val="0000FF"/>
                </a:solidFill>
                <a:effectLst/>
                <a:latin typeface="+mn-lt"/>
                <a:ea typeface="+mn-ea"/>
                <a:cs typeface="+mn-cs"/>
              </a:rPr>
              <a:t>確認例</a:t>
            </a:r>
            <a:endParaRPr kumimoji="1" lang="ja-JP" altLang="en-US" sz="1200">
              <a:solidFill>
                <a:srgbClr val="0000FF"/>
              </a:solidFill>
            </a:endParaRPr>
          </a:p>
        </xdr:txBody>
      </xdr:sp>
      <xdr:sp macro="" textlink="">
        <xdr:nvSpPr>
          <xdr:cNvPr id="18" name="テキスト ボックス 17"/>
          <xdr:cNvSpPr txBox="1"/>
        </xdr:nvSpPr>
        <xdr:spPr>
          <a:xfrm>
            <a:off x="19552022" y="2739832"/>
            <a:ext cx="1899958" cy="513974"/>
          </a:xfrm>
          <a:prstGeom prst="rect">
            <a:avLst/>
          </a:prstGeom>
          <a:solidFill>
            <a:srgbClr val="FFFF00"/>
          </a:solidFill>
          <a:ln w="2540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1">
                <a:solidFill>
                  <a:srgbClr val="0000FF"/>
                </a:solidFill>
              </a:rPr>
              <a:t>出力制御ユニット・監視装置</a:t>
            </a:r>
            <a:endParaRPr kumimoji="1" lang="en-US" altLang="ja-JP" sz="1100" b="1">
              <a:solidFill>
                <a:srgbClr val="0000FF"/>
              </a:solidFill>
            </a:endParaRPr>
          </a:p>
          <a:p>
            <a:r>
              <a:rPr kumimoji="1" lang="ja-JP" altLang="en-US" sz="1100" b="1">
                <a:solidFill>
                  <a:srgbClr val="0000FF"/>
                </a:solidFill>
              </a:rPr>
              <a:t>製造番号です。</a:t>
            </a:r>
            <a:endParaRPr kumimoji="1" lang="en-US" altLang="ja-JP" sz="1100" b="1">
              <a:solidFill>
                <a:srgbClr val="0000FF"/>
              </a:solidFill>
            </a:endParaRPr>
          </a:p>
        </xdr:txBody>
      </xdr:sp>
      <xdr:cxnSp macro="">
        <xdr:nvCxnSpPr>
          <xdr:cNvPr id="19" name="直線矢印コネクタ 18"/>
          <xdr:cNvCxnSpPr>
            <a:stCxn id="18" idx="2"/>
          </xdr:cNvCxnSpPr>
        </xdr:nvCxnSpPr>
        <xdr:spPr>
          <a:xfrm>
            <a:off x="20502002" y="3253806"/>
            <a:ext cx="800380" cy="132897"/>
          </a:xfrm>
          <a:prstGeom prst="straightConnector1">
            <a:avLst/>
          </a:prstGeom>
          <a:ln w="254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xdr:cNvCxnSpPr>
            <a:stCxn id="18" idx="2"/>
          </xdr:cNvCxnSpPr>
        </xdr:nvCxnSpPr>
        <xdr:spPr>
          <a:xfrm>
            <a:off x="20502002" y="3253806"/>
            <a:ext cx="790855" cy="1320415"/>
          </a:xfrm>
          <a:prstGeom prst="straightConnector1">
            <a:avLst/>
          </a:prstGeom>
          <a:ln w="254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 name="角丸四角形吹き出し 20"/>
          <xdr:cNvSpPr/>
        </xdr:nvSpPr>
        <xdr:spPr>
          <a:xfrm>
            <a:off x="14100359" y="248295"/>
            <a:ext cx="3271558" cy="607868"/>
          </a:xfrm>
          <a:prstGeom prst="wedgeRoundRectCallout">
            <a:avLst>
              <a:gd name="adj1" fmla="val -22593"/>
              <a:gd name="adj2" fmla="val 102681"/>
              <a:gd name="adj3" fmla="val 16667"/>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r>
              <a:rPr kumimoji="1" lang="ja-JP" altLang="en-US" sz="1200" b="0">
                <a:solidFill>
                  <a:srgbClr val="0000FF"/>
                </a:solidFill>
              </a:rPr>
              <a:t>検査成績書は、出力制御ユニット・監視装置に</a:t>
            </a:r>
            <a:endParaRPr kumimoji="1" lang="en-US" altLang="ja-JP" sz="1200" b="0">
              <a:solidFill>
                <a:srgbClr val="0000FF"/>
              </a:solidFill>
            </a:endParaRPr>
          </a:p>
          <a:p>
            <a:pPr algn="l"/>
            <a:r>
              <a:rPr kumimoji="1" lang="ja-JP" altLang="en-US" sz="1200" b="0">
                <a:solidFill>
                  <a:srgbClr val="0000FF"/>
                </a:solidFill>
              </a:rPr>
              <a:t>１台ずつ添付してあります。</a:t>
            </a:r>
          </a:p>
        </xdr:txBody>
      </xdr:sp>
      <xdr:sp macro="" textlink="">
        <xdr:nvSpPr>
          <xdr:cNvPr id="22" name="角丸四角形吹き出し 21"/>
          <xdr:cNvSpPr/>
        </xdr:nvSpPr>
        <xdr:spPr>
          <a:xfrm>
            <a:off x="19438281" y="497233"/>
            <a:ext cx="3244103" cy="359997"/>
          </a:xfrm>
          <a:prstGeom prst="wedgeRoundRectCallout">
            <a:avLst>
              <a:gd name="adj1" fmla="val -22119"/>
              <a:gd name="adj2" fmla="val 132518"/>
              <a:gd name="adj3" fmla="val 16667"/>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r>
              <a:rPr kumimoji="1" lang="ja-JP" altLang="en-US" sz="1200" b="0">
                <a:solidFill>
                  <a:srgbClr val="0000FF"/>
                </a:solidFill>
              </a:rPr>
              <a:t>物品送付書は、納入単位毎に１通の発行です。</a:t>
            </a:r>
          </a:p>
        </xdr:txBody>
      </xdr:sp>
      <xdr:cxnSp macro="">
        <xdr:nvCxnSpPr>
          <xdr:cNvPr id="23" name="直線矢印コネクタ 22"/>
          <xdr:cNvCxnSpPr>
            <a:stCxn id="18" idx="2"/>
          </xdr:cNvCxnSpPr>
        </xdr:nvCxnSpPr>
        <xdr:spPr>
          <a:xfrm>
            <a:off x="20502002" y="3253806"/>
            <a:ext cx="781890" cy="750561"/>
          </a:xfrm>
          <a:prstGeom prst="straightConnector1">
            <a:avLst/>
          </a:prstGeom>
          <a:ln w="254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 name="正方形/長方形 23"/>
          <xdr:cNvSpPr/>
        </xdr:nvSpPr>
        <xdr:spPr>
          <a:xfrm>
            <a:off x="21264841" y="4585474"/>
            <a:ext cx="2788024" cy="285279"/>
          </a:xfrm>
          <a:prstGeom prst="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xdr:cNvCxnSpPr/>
        </xdr:nvCxnSpPr>
        <xdr:spPr>
          <a:xfrm flipV="1">
            <a:off x="17954062" y="4524608"/>
            <a:ext cx="784973" cy="926463"/>
          </a:xfrm>
          <a:prstGeom prst="straightConnector1">
            <a:avLst/>
          </a:prstGeom>
          <a:ln w="25400" cmpd="sng">
            <a:solidFill>
              <a:srgbClr val="0099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xdr:cNvCxnSpPr/>
        </xdr:nvCxnSpPr>
        <xdr:spPr>
          <a:xfrm flipV="1">
            <a:off x="18229167" y="5114158"/>
            <a:ext cx="443193" cy="358193"/>
          </a:xfrm>
          <a:prstGeom prst="straightConnector1">
            <a:avLst/>
          </a:prstGeom>
          <a:ln w="25400" cmpd="sng">
            <a:solidFill>
              <a:srgbClr val="0099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21283891" y="3410000"/>
            <a:ext cx="2788024" cy="283552"/>
          </a:xfrm>
          <a:prstGeom prst="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xdr:cNvSpPr/>
        </xdr:nvSpPr>
        <xdr:spPr>
          <a:xfrm>
            <a:off x="18719985" y="4275117"/>
            <a:ext cx="479050" cy="263425"/>
          </a:xfrm>
          <a:prstGeom prst="rect">
            <a:avLst/>
          </a:prstGeom>
          <a:noFill/>
          <a:ln cmpd="sng">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xdr:cNvSpPr/>
        </xdr:nvSpPr>
        <xdr:spPr>
          <a:xfrm>
            <a:off x="18681885" y="4872462"/>
            <a:ext cx="542923" cy="254218"/>
          </a:xfrm>
          <a:prstGeom prst="rect">
            <a:avLst/>
          </a:prstGeom>
          <a:noFill/>
          <a:ln cmpd="sng">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21271563" y="3981663"/>
            <a:ext cx="2788024" cy="314128"/>
          </a:xfrm>
          <a:prstGeom prst="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0</xdr:colOff>
      <xdr:row>46</xdr:row>
      <xdr:rowOff>0</xdr:rowOff>
    </xdr:from>
    <xdr:to>
      <xdr:col>17</xdr:col>
      <xdr:colOff>162887</xdr:colOff>
      <xdr:row>95</xdr:row>
      <xdr:rowOff>96527</xdr:rowOff>
    </xdr:to>
    <xdr:grpSp>
      <xdr:nvGrpSpPr>
        <xdr:cNvPr id="31" name="グループ化 30"/>
        <xdr:cNvGrpSpPr/>
      </xdr:nvGrpSpPr>
      <xdr:grpSpPr>
        <a:xfrm>
          <a:off x="10852150" y="13017500"/>
          <a:ext cx="8690937" cy="8376927"/>
          <a:chOff x="11552464" y="12532179"/>
          <a:chExt cx="9442959" cy="8562975"/>
        </a:xfrm>
      </xdr:grpSpPr>
      <xdr:grpSp>
        <xdr:nvGrpSpPr>
          <xdr:cNvPr id="32" name="グループ化 31"/>
          <xdr:cNvGrpSpPr/>
        </xdr:nvGrpSpPr>
        <xdr:grpSpPr>
          <a:xfrm>
            <a:off x="11570133" y="13703440"/>
            <a:ext cx="8870279" cy="4626673"/>
            <a:chOff x="11561969" y="13568729"/>
            <a:chExt cx="8890689" cy="4485159"/>
          </a:xfrm>
        </xdr:grpSpPr>
        <xdr:sp macro="" textlink="">
          <xdr:nvSpPr>
            <xdr:cNvPr id="37" name="円/楕円 36"/>
            <xdr:cNvSpPr/>
          </xdr:nvSpPr>
          <xdr:spPr>
            <a:xfrm>
              <a:off x="19518669" y="15625540"/>
              <a:ext cx="933989" cy="1573207"/>
            </a:xfrm>
            <a:prstGeom prst="ellipse">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8" name="正方形/長方形 37"/>
            <xdr:cNvSpPr/>
          </xdr:nvSpPr>
          <xdr:spPr>
            <a:xfrm>
              <a:off x="11561969" y="13568729"/>
              <a:ext cx="2931082" cy="210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1200" b="1">
                  <a:solidFill>
                    <a:srgbClr val="0000FF"/>
                  </a:solidFill>
                </a:rPr>
                <a:t>★監視サービス　グルーピングイメージ</a:t>
              </a:r>
            </a:p>
          </xdr:txBody>
        </xdr:sp>
        <xdr:pic>
          <xdr:nvPicPr>
            <xdr:cNvPr id="39" name="table"/>
            <xdr:cNvPicPr>
              <a:picLocks noChangeAspect="1"/>
            </xdr:cNvPicPr>
          </xdr:nvPicPr>
          <xdr:blipFill>
            <a:blip xmlns:r="http://schemas.openxmlformats.org/officeDocument/2006/relationships" r:embed="rId3"/>
            <a:stretch>
              <a:fillRect/>
            </a:stretch>
          </xdr:blipFill>
          <xdr:spPr>
            <a:xfrm>
              <a:off x="11638192" y="13804202"/>
              <a:ext cx="7825522" cy="3984787"/>
            </a:xfrm>
            <a:prstGeom prst="rect">
              <a:avLst/>
            </a:prstGeom>
          </xdr:spPr>
        </xdr:pic>
        <xdr:pic>
          <xdr:nvPicPr>
            <xdr:cNvPr id="40" name="Picture 2" descr="「無料イラスト ...」の画像検索結果"/>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65690" y="13925251"/>
              <a:ext cx="855098" cy="50506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1" name="正方形/長方形 40"/>
            <xdr:cNvSpPr/>
          </xdr:nvSpPr>
          <xdr:spPr>
            <a:xfrm>
              <a:off x="14246139" y="14135053"/>
              <a:ext cx="1139995" cy="269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rPr>
                <a:t>発電事業</a:t>
              </a:r>
              <a:endParaRPr kumimoji="1" lang="en-US" altLang="ja-JP" sz="1050">
                <a:solidFill>
                  <a:schemeClr val="tx1"/>
                </a:solidFill>
              </a:endParaRPr>
            </a:p>
            <a:p>
              <a:pPr algn="ctr"/>
              <a:r>
                <a:rPr kumimoji="1" lang="ja-JP" altLang="en-US" sz="1050">
                  <a:solidFill>
                    <a:schemeClr val="tx1"/>
                  </a:solidFill>
                </a:rPr>
                <a:t>オーナー１</a:t>
              </a:r>
            </a:p>
          </xdr:txBody>
        </xdr:sp>
        <xdr:sp macro="" textlink="">
          <xdr:nvSpPr>
            <xdr:cNvPr id="42" name="正方形/長方形 41"/>
            <xdr:cNvSpPr/>
          </xdr:nvSpPr>
          <xdr:spPr>
            <a:xfrm>
              <a:off x="17264170" y="14159611"/>
              <a:ext cx="1139995" cy="269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rPr>
                <a:t>発電事業</a:t>
              </a:r>
              <a:endParaRPr kumimoji="1" lang="en-US" altLang="ja-JP" sz="1050">
                <a:solidFill>
                  <a:schemeClr val="tx1"/>
                </a:solidFill>
              </a:endParaRPr>
            </a:p>
            <a:p>
              <a:pPr algn="ctr"/>
              <a:r>
                <a:rPr kumimoji="1" lang="ja-JP" altLang="en-US" sz="1050">
                  <a:solidFill>
                    <a:schemeClr val="tx1"/>
                  </a:solidFill>
                </a:rPr>
                <a:t>オーナー２</a:t>
              </a:r>
            </a:p>
          </xdr:txBody>
        </xdr:sp>
        <xdr:sp macro="" textlink="">
          <xdr:nvSpPr>
            <xdr:cNvPr id="43" name="正方形/長方形 42"/>
            <xdr:cNvSpPr/>
          </xdr:nvSpPr>
          <xdr:spPr>
            <a:xfrm>
              <a:off x="12693836" y="17827818"/>
              <a:ext cx="7041970" cy="226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en-US" altLang="ja-JP" sz="1200">
                  <a:solidFill>
                    <a:schemeClr val="tx1"/>
                  </a:solidFill>
                </a:rPr>
                <a:t>※  </a:t>
              </a:r>
              <a:r>
                <a:rPr kumimoji="1" lang="ja-JP" altLang="en-US" sz="1200">
                  <a:solidFill>
                    <a:schemeClr val="tx1"/>
                  </a:solidFill>
                </a:rPr>
                <a:t>保守責任事業者は、発電事業オーナーのグルーピングに関係なく、横断的に閲覧が可能です。</a:t>
              </a:r>
            </a:p>
          </xdr:txBody>
        </xdr:sp>
        <xdr:pic>
          <xdr:nvPicPr>
            <xdr:cNvPr id="44"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731601" y="16020403"/>
              <a:ext cx="570815" cy="52445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45" name="円/楕円 44"/>
            <xdr:cNvSpPr/>
          </xdr:nvSpPr>
          <xdr:spPr>
            <a:xfrm>
              <a:off x="13961191" y="14800005"/>
              <a:ext cx="1267888" cy="412420"/>
            </a:xfrm>
            <a:prstGeom prst="ellipse">
              <a:avLst/>
            </a:prstGeom>
            <a:solidFill>
              <a:srgbClr val="FFD5D5"/>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200">
                  <a:solidFill>
                    <a:schemeClr val="tx1"/>
                  </a:solidFill>
                  <a:latin typeface="+mn-ea"/>
                </a:rPr>
                <a:t>事業</a:t>
              </a:r>
              <a:r>
                <a:rPr kumimoji="1" lang="en-US" altLang="ja-JP" sz="1200">
                  <a:solidFill>
                    <a:schemeClr val="tx1"/>
                  </a:solidFill>
                  <a:latin typeface="+mn-ea"/>
                </a:rPr>
                <a:t>A</a:t>
              </a:r>
            </a:p>
            <a:p>
              <a:pPr algn="ctr"/>
              <a:r>
                <a:rPr lang="ja-JP" altLang="en-US" sz="1200">
                  <a:solidFill>
                    <a:schemeClr val="tx1"/>
                  </a:solidFill>
                  <a:latin typeface="+mn-ea"/>
                </a:rPr>
                <a:t>（九州地方）</a:t>
              </a:r>
              <a:endParaRPr kumimoji="1" lang="ja-JP" altLang="en-US" sz="1200">
                <a:solidFill>
                  <a:schemeClr val="tx1"/>
                </a:solidFill>
                <a:latin typeface="+mn-ea"/>
              </a:endParaRPr>
            </a:p>
          </xdr:txBody>
        </xdr:sp>
        <xdr:sp macro="" textlink="">
          <xdr:nvSpPr>
            <xdr:cNvPr id="46" name="円/楕円 45"/>
            <xdr:cNvSpPr/>
          </xdr:nvSpPr>
          <xdr:spPr>
            <a:xfrm>
              <a:off x="16671058" y="14800005"/>
              <a:ext cx="1280117" cy="412420"/>
            </a:xfrm>
            <a:prstGeom prst="ellipse">
              <a:avLst/>
            </a:prstGeom>
            <a:solidFill>
              <a:srgbClr val="FFD5D5"/>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200">
                  <a:solidFill>
                    <a:schemeClr val="tx1"/>
                  </a:solidFill>
                  <a:latin typeface="+mn-ea"/>
                </a:rPr>
                <a:t>事業</a:t>
              </a:r>
              <a:r>
                <a:rPr lang="en-US" altLang="ja-JP" sz="1200">
                  <a:solidFill>
                    <a:schemeClr val="tx1"/>
                  </a:solidFill>
                  <a:latin typeface="+mn-ea"/>
                </a:rPr>
                <a:t>C</a:t>
              </a:r>
              <a:endParaRPr kumimoji="1" lang="en-US" altLang="ja-JP" sz="1200">
                <a:solidFill>
                  <a:schemeClr val="tx1"/>
                </a:solidFill>
                <a:latin typeface="+mn-ea"/>
              </a:endParaRPr>
            </a:p>
            <a:p>
              <a:pPr algn="ctr"/>
              <a:r>
                <a:rPr lang="ja-JP" altLang="en-US" sz="1200">
                  <a:solidFill>
                    <a:schemeClr val="tx1"/>
                  </a:solidFill>
                  <a:latin typeface="+mn-ea"/>
                </a:rPr>
                <a:t>（中国地方）</a:t>
              </a:r>
              <a:endParaRPr kumimoji="1" lang="ja-JP" altLang="en-US" sz="1200">
                <a:solidFill>
                  <a:schemeClr val="tx1"/>
                </a:solidFill>
                <a:latin typeface="+mn-ea"/>
              </a:endParaRPr>
            </a:p>
          </xdr:txBody>
        </xdr:sp>
        <xdr:sp macro="" textlink="">
          <xdr:nvSpPr>
            <xdr:cNvPr id="47" name="円/楕円 46"/>
            <xdr:cNvSpPr/>
          </xdr:nvSpPr>
          <xdr:spPr>
            <a:xfrm>
              <a:off x="18084764" y="14800005"/>
              <a:ext cx="1262909" cy="412420"/>
            </a:xfrm>
            <a:prstGeom prst="ellipse">
              <a:avLst/>
            </a:prstGeom>
            <a:solidFill>
              <a:srgbClr val="FFD5D5"/>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200">
                  <a:solidFill>
                    <a:schemeClr val="tx1"/>
                  </a:solidFill>
                  <a:latin typeface="+mn-ea"/>
                </a:rPr>
                <a:t>事業</a:t>
              </a:r>
              <a:r>
                <a:rPr kumimoji="1" lang="en-US" altLang="ja-JP" sz="1200">
                  <a:solidFill>
                    <a:schemeClr val="tx1"/>
                  </a:solidFill>
                  <a:latin typeface="+mn-ea"/>
                </a:rPr>
                <a:t>D</a:t>
              </a:r>
            </a:p>
            <a:p>
              <a:pPr algn="ctr"/>
              <a:r>
                <a:rPr lang="ja-JP" altLang="en-US" sz="1200">
                  <a:solidFill>
                    <a:schemeClr val="tx1"/>
                  </a:solidFill>
                  <a:latin typeface="+mn-ea"/>
                </a:rPr>
                <a:t>（関東地方）</a:t>
              </a:r>
              <a:endParaRPr kumimoji="1" lang="ja-JP" altLang="en-US" sz="1200">
                <a:solidFill>
                  <a:schemeClr val="tx1"/>
                </a:solidFill>
                <a:latin typeface="+mn-ea"/>
              </a:endParaRPr>
            </a:p>
          </xdr:txBody>
        </xdr:sp>
        <xdr:sp macro="" textlink="">
          <xdr:nvSpPr>
            <xdr:cNvPr id="48" name="円/楕円 47"/>
            <xdr:cNvSpPr/>
          </xdr:nvSpPr>
          <xdr:spPr>
            <a:xfrm>
              <a:off x="13533692" y="15448095"/>
              <a:ext cx="1864953" cy="631542"/>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9" name="円/楕円 48"/>
            <xdr:cNvSpPr/>
          </xdr:nvSpPr>
          <xdr:spPr>
            <a:xfrm>
              <a:off x="13961191" y="16151161"/>
              <a:ext cx="3086777" cy="694081"/>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0" name="円/楕円 49"/>
            <xdr:cNvSpPr/>
          </xdr:nvSpPr>
          <xdr:spPr>
            <a:xfrm>
              <a:off x="14459940" y="17028855"/>
              <a:ext cx="4595488" cy="707007"/>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1" name="円/楕円 50"/>
            <xdr:cNvSpPr/>
          </xdr:nvSpPr>
          <xdr:spPr>
            <a:xfrm>
              <a:off x="17633166" y="15448095"/>
              <a:ext cx="1710189" cy="610456"/>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52" name="直線コネクタ 51"/>
            <xdr:cNvCxnSpPr/>
          </xdr:nvCxnSpPr>
          <xdr:spPr>
            <a:xfrm flipH="1">
              <a:off x="14603023" y="14430315"/>
              <a:ext cx="1012891" cy="36969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xdr:cNvCxnSpPr>
              <a:stCxn id="45" idx="5"/>
            </xdr:cNvCxnSpPr>
          </xdr:nvCxnSpPr>
          <xdr:spPr>
            <a:xfrm>
              <a:off x="15043402" y="15152028"/>
              <a:ext cx="912782" cy="980829"/>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4" name="直線コネクタ 53"/>
            <xdr:cNvCxnSpPr/>
          </xdr:nvCxnSpPr>
          <xdr:spPr>
            <a:xfrm>
              <a:off x="14603021" y="15212426"/>
              <a:ext cx="0" cy="23567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xdr:cNvCxnSpPr/>
          </xdr:nvCxnSpPr>
          <xdr:spPr>
            <a:xfrm>
              <a:off x="18633982" y="15212426"/>
              <a:ext cx="0" cy="23567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6" name="直線コネクタ 55"/>
            <xdr:cNvCxnSpPr>
              <a:endCxn id="46" idx="0"/>
            </xdr:cNvCxnSpPr>
          </xdr:nvCxnSpPr>
          <xdr:spPr>
            <a:xfrm flipH="1">
              <a:off x="17311117" y="14488556"/>
              <a:ext cx="1082440" cy="31145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xdr:cNvCxnSpPr>
              <a:endCxn id="46" idx="0"/>
            </xdr:cNvCxnSpPr>
          </xdr:nvCxnSpPr>
          <xdr:spPr>
            <a:xfrm flipH="1">
              <a:off x="17311117" y="14488556"/>
              <a:ext cx="1082442" cy="311450"/>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xdr:cNvCxnSpPr>
              <a:stCxn id="65" idx="2"/>
              <a:endCxn id="47" idx="0"/>
            </xdr:cNvCxnSpPr>
          </xdr:nvCxnSpPr>
          <xdr:spPr>
            <a:xfrm>
              <a:off x="18511635" y="14456182"/>
              <a:ext cx="204584" cy="343823"/>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cxnSp macro="">
          <xdr:nvCxnSpPr>
            <xdr:cNvPr id="59" name="直線コネクタ 58"/>
            <xdr:cNvCxnSpPr>
              <a:stCxn id="76" idx="3"/>
            </xdr:cNvCxnSpPr>
          </xdr:nvCxnSpPr>
          <xdr:spPr>
            <a:xfrm>
              <a:off x="15361025" y="15819518"/>
              <a:ext cx="4157644" cy="436553"/>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xdr:cNvCxnSpPr>
              <a:stCxn id="49" idx="6"/>
            </xdr:cNvCxnSpPr>
          </xdr:nvCxnSpPr>
          <xdr:spPr>
            <a:xfrm flipV="1">
              <a:off x="17047968" y="16412144"/>
              <a:ext cx="2470701" cy="86059"/>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61" name="直線コネクタ 60"/>
            <xdr:cNvCxnSpPr/>
          </xdr:nvCxnSpPr>
          <xdr:spPr>
            <a:xfrm flipV="1">
              <a:off x="18772687" y="16845244"/>
              <a:ext cx="817232" cy="375284"/>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62" name="直線コネクタ 61"/>
            <xdr:cNvCxnSpPr>
              <a:endCxn id="51" idx="6"/>
            </xdr:cNvCxnSpPr>
          </xdr:nvCxnSpPr>
          <xdr:spPr>
            <a:xfrm flipH="1" flipV="1">
              <a:off x="19343355" y="15753323"/>
              <a:ext cx="237140" cy="256646"/>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63" name="正方形/長方形 62"/>
            <xdr:cNvSpPr/>
          </xdr:nvSpPr>
          <xdr:spPr>
            <a:xfrm>
              <a:off x="19602139" y="16609575"/>
              <a:ext cx="810524" cy="4545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rgbClr val="EA0000"/>
                  </a:solidFill>
                </a:rPr>
                <a:t>保守責任</a:t>
              </a:r>
              <a:endParaRPr kumimoji="1" lang="en-US" altLang="ja-JP" sz="1050">
                <a:solidFill>
                  <a:srgbClr val="EA0000"/>
                </a:solidFill>
              </a:endParaRPr>
            </a:p>
            <a:p>
              <a:pPr algn="ctr"/>
              <a:r>
                <a:rPr lang="ja-JP" altLang="en-US" sz="1050">
                  <a:solidFill>
                    <a:srgbClr val="EA0000"/>
                  </a:solidFill>
                </a:rPr>
                <a:t>事業者</a:t>
              </a:r>
              <a:endParaRPr lang="en-US" altLang="ja-JP" sz="1050">
                <a:solidFill>
                  <a:srgbClr val="EA0000"/>
                </a:solidFill>
              </a:endParaRPr>
            </a:p>
            <a:p>
              <a:pPr algn="ctr"/>
              <a:r>
                <a:rPr lang="en-US" altLang="ja-JP" sz="1050">
                  <a:solidFill>
                    <a:srgbClr val="EA0000"/>
                  </a:solidFill>
                </a:rPr>
                <a:t>※</a:t>
              </a:r>
              <a:endParaRPr kumimoji="1" lang="ja-JP" altLang="en-US" sz="1050">
                <a:solidFill>
                  <a:srgbClr val="EA0000"/>
                </a:solidFill>
              </a:endParaRPr>
            </a:p>
          </xdr:txBody>
        </xdr:sp>
        <xdr:pic>
          <xdr:nvPicPr>
            <xdr:cNvPr id="64"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47442" y="15503658"/>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Picture 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36174" y="13899385"/>
              <a:ext cx="550921" cy="55679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66"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60849" y="16248537"/>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7"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178175" y="16162479"/>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65690" y="16333490"/>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796326" y="17027243"/>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13349" y="15486243"/>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904328" y="17132693"/>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668472" y="17279767"/>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3"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615110" y="17003808"/>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271371" y="17159677"/>
              <a:ext cx="807824" cy="4993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Picture 9" descr="クリックすると新しいウィンドウで開きます"/>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87904" y="17253473"/>
              <a:ext cx="807824" cy="4993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6" name="正方形/長方形 75"/>
            <xdr:cNvSpPr/>
          </xdr:nvSpPr>
          <xdr:spPr>
            <a:xfrm>
              <a:off x="14459939" y="15607983"/>
              <a:ext cx="901086" cy="4230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tx1"/>
                  </a:solidFill>
                </a:rPr>
                <a:t>発電所</a:t>
              </a:r>
              <a:r>
                <a:rPr kumimoji="1" lang="en-US" altLang="ja-JP" sz="1200">
                  <a:solidFill>
                    <a:schemeClr val="tx1"/>
                  </a:solidFill>
                </a:rPr>
                <a:t>X</a:t>
              </a:r>
              <a:r>
                <a:rPr kumimoji="1" lang="ja-JP" altLang="en-US" sz="1200">
                  <a:solidFill>
                    <a:schemeClr val="tx1"/>
                  </a:solidFill>
                </a:rPr>
                <a:t>（福岡県）</a:t>
              </a:r>
            </a:p>
          </xdr:txBody>
        </xdr:sp>
        <xdr:sp macro="" textlink="">
          <xdr:nvSpPr>
            <xdr:cNvPr id="77" name="正方形/長方形 76"/>
            <xdr:cNvSpPr/>
          </xdr:nvSpPr>
          <xdr:spPr>
            <a:xfrm>
              <a:off x="15985999" y="16358736"/>
              <a:ext cx="911252" cy="4114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tx1"/>
                  </a:solidFill>
                </a:rPr>
                <a:t>発電所</a:t>
              </a:r>
              <a:r>
                <a:rPr kumimoji="1" lang="en-US" altLang="ja-JP" sz="1200">
                  <a:solidFill>
                    <a:schemeClr val="tx1"/>
                  </a:solidFill>
                </a:rPr>
                <a:t>Y</a:t>
              </a:r>
              <a:r>
                <a:rPr kumimoji="1" lang="ja-JP" altLang="en-US" sz="1200">
                  <a:solidFill>
                    <a:schemeClr val="tx1"/>
                  </a:solidFill>
                </a:rPr>
                <a:t>（宮崎県）</a:t>
              </a:r>
            </a:p>
          </xdr:txBody>
        </xdr:sp>
        <xdr:sp macro="" textlink="">
          <xdr:nvSpPr>
            <xdr:cNvPr id="78" name="正方形/長方形 77"/>
            <xdr:cNvSpPr/>
          </xdr:nvSpPr>
          <xdr:spPr>
            <a:xfrm>
              <a:off x="17987383" y="17198746"/>
              <a:ext cx="907904" cy="4194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tx1"/>
                  </a:solidFill>
                </a:rPr>
                <a:t>発電所</a:t>
              </a:r>
              <a:r>
                <a:rPr kumimoji="1" lang="en-US" altLang="ja-JP" sz="1200">
                  <a:solidFill>
                    <a:schemeClr val="tx1"/>
                  </a:solidFill>
                </a:rPr>
                <a:t>Z</a:t>
              </a:r>
              <a:r>
                <a:rPr kumimoji="1" lang="ja-JP" altLang="en-US" sz="1200">
                  <a:solidFill>
                    <a:schemeClr val="tx1"/>
                  </a:solidFill>
                </a:rPr>
                <a:t>（広島県）</a:t>
              </a:r>
            </a:p>
          </xdr:txBody>
        </xdr:sp>
        <xdr:sp macro="" textlink="">
          <xdr:nvSpPr>
            <xdr:cNvPr id="79" name="正方形/長方形 78"/>
            <xdr:cNvSpPr/>
          </xdr:nvSpPr>
          <xdr:spPr>
            <a:xfrm>
              <a:off x="18417496" y="15607983"/>
              <a:ext cx="911326" cy="4230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tx1"/>
                  </a:solidFill>
                </a:rPr>
                <a:t>発電所</a:t>
              </a:r>
              <a:r>
                <a:rPr kumimoji="1" lang="en-US" altLang="ja-JP" sz="1200">
                  <a:solidFill>
                    <a:schemeClr val="tx1"/>
                  </a:solidFill>
                </a:rPr>
                <a:t>W</a:t>
              </a:r>
              <a:r>
                <a:rPr kumimoji="1" lang="ja-JP" altLang="en-US" sz="1200">
                  <a:solidFill>
                    <a:schemeClr val="tx1"/>
                  </a:solidFill>
                </a:rPr>
                <a:t>（埼玉県）</a:t>
              </a:r>
            </a:p>
          </xdr:txBody>
        </xdr:sp>
        <xdr:cxnSp macro="">
          <xdr:nvCxnSpPr>
            <xdr:cNvPr id="80" name="直線コネクタ 79"/>
            <xdr:cNvCxnSpPr/>
          </xdr:nvCxnSpPr>
          <xdr:spPr>
            <a:xfrm>
              <a:off x="17271371" y="15212426"/>
              <a:ext cx="0" cy="1786958"/>
            </a:xfrm>
            <a:prstGeom prst="line">
              <a:avLst/>
            </a:prstGeom>
            <a:ln w="28575">
              <a:solidFill>
                <a:srgbClr val="BD4A47"/>
              </a:solidFill>
            </a:ln>
          </xdr:spPr>
          <xdr:style>
            <a:lnRef idx="1">
              <a:schemeClr val="accent1"/>
            </a:lnRef>
            <a:fillRef idx="0">
              <a:schemeClr val="accent1"/>
            </a:fillRef>
            <a:effectRef idx="0">
              <a:schemeClr val="accent1"/>
            </a:effectRef>
            <a:fontRef idx="minor">
              <a:schemeClr val="tx1"/>
            </a:fontRef>
          </xdr:style>
        </xdr:cxnSp>
        <xdr:sp macro="" textlink="">
          <xdr:nvSpPr>
            <xdr:cNvPr id="81" name="正方形/長方形 80"/>
            <xdr:cNvSpPr/>
          </xdr:nvSpPr>
          <xdr:spPr>
            <a:xfrm>
              <a:off x="14496147" y="16347557"/>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区画１</a:t>
              </a:r>
            </a:p>
          </xdr:txBody>
        </xdr:sp>
        <xdr:sp macro="" textlink="">
          <xdr:nvSpPr>
            <xdr:cNvPr id="82" name="正方形/長方形 81"/>
            <xdr:cNvSpPr/>
          </xdr:nvSpPr>
          <xdr:spPr>
            <a:xfrm>
              <a:off x="15409285" y="16344447"/>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区画２</a:t>
              </a:r>
            </a:p>
          </xdr:txBody>
        </xdr:sp>
        <xdr:sp macro="" textlink="">
          <xdr:nvSpPr>
            <xdr:cNvPr id="83" name="正方形/長方形 82"/>
            <xdr:cNvSpPr/>
          </xdr:nvSpPr>
          <xdr:spPr>
            <a:xfrm>
              <a:off x="15029937" y="17257663"/>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区画１</a:t>
              </a:r>
            </a:p>
          </xdr:txBody>
        </xdr:sp>
        <xdr:sp macro="" textlink="">
          <xdr:nvSpPr>
            <xdr:cNvPr id="84" name="正方形/長方形 83"/>
            <xdr:cNvSpPr/>
          </xdr:nvSpPr>
          <xdr:spPr>
            <a:xfrm>
              <a:off x="15878240" y="17238009"/>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区画２</a:t>
              </a:r>
            </a:p>
          </xdr:txBody>
        </xdr:sp>
        <xdr:sp macro="" textlink="">
          <xdr:nvSpPr>
            <xdr:cNvPr id="85" name="正方形/長方形 84"/>
            <xdr:cNvSpPr/>
          </xdr:nvSpPr>
          <xdr:spPr>
            <a:xfrm>
              <a:off x="16668680" y="17228205"/>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区画３</a:t>
              </a:r>
            </a:p>
          </xdr:txBody>
        </xdr:sp>
        <xdr:sp macro="" textlink="">
          <xdr:nvSpPr>
            <xdr:cNvPr id="86" name="正方形/長方形 85"/>
            <xdr:cNvSpPr/>
          </xdr:nvSpPr>
          <xdr:spPr>
            <a:xfrm>
              <a:off x="17417385" y="17287122"/>
              <a:ext cx="818789" cy="265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1200">
                  <a:solidFill>
                    <a:schemeClr val="bg1"/>
                  </a:solidFill>
                </a:rPr>
                <a:t>区画４</a:t>
              </a:r>
            </a:p>
          </xdr:txBody>
        </xdr:sp>
        <xdr:cxnSp macro="">
          <xdr:nvCxnSpPr>
            <xdr:cNvPr id="87" name="直線コネクタ 86"/>
            <xdr:cNvCxnSpPr/>
          </xdr:nvCxnSpPr>
          <xdr:spPr>
            <a:xfrm>
              <a:off x="16395393" y="15330260"/>
              <a:ext cx="0" cy="82090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3" name="テキスト ボックス 32"/>
          <xdr:cNvSpPr txBox="1"/>
        </xdr:nvSpPr>
        <xdr:spPr>
          <a:xfrm>
            <a:off x="11552464" y="12532179"/>
            <a:ext cx="8999846" cy="1142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1200" b="1">
                <a:solidFill>
                  <a:srgbClr val="0000FF"/>
                </a:solidFill>
              </a:rPr>
              <a:t>★５－９，５－１０項　位置情報（経度・緯度）の世界測地系と日本測地系について</a:t>
            </a:r>
            <a:endParaRPr kumimoji="1" lang="en-US" altLang="ja-JP" sz="1200" b="1">
              <a:solidFill>
                <a:srgbClr val="0000FF"/>
              </a:solidFill>
            </a:endParaRPr>
          </a:p>
          <a:p>
            <a:r>
              <a:rPr kumimoji="1" lang="ja-JP" altLang="en-US" sz="1200" b="1">
                <a:solidFill>
                  <a:srgbClr val="0000FF"/>
                </a:solidFill>
              </a:rPr>
              <a:t>　</a:t>
            </a:r>
            <a:r>
              <a:rPr kumimoji="1" lang="ja-JP" altLang="en-US" sz="1200" b="1">
                <a:solidFill>
                  <a:sysClr val="windowText" lastClr="000000"/>
                </a:solidFill>
              </a:rPr>
              <a:t>経度・緯度の測定には、</a:t>
            </a:r>
            <a:r>
              <a:rPr lang="ja-JP" altLang="en-US" sz="1200" b="1">
                <a:solidFill>
                  <a:sysClr val="windowText" lastClr="000000"/>
                </a:solidFill>
                <a:effectLst/>
              </a:rPr>
              <a:t>人工衛星等の観測結果を元にした世界測地系と、日本独自の測定方法で構築した日本測地系があります。</a:t>
            </a:r>
            <a:endParaRPr lang="en-US" altLang="ja-JP" sz="1200" b="1">
              <a:solidFill>
                <a:sysClr val="windowText" lastClr="000000"/>
              </a:solidFill>
              <a:effectLst/>
            </a:endParaRPr>
          </a:p>
          <a:p>
            <a:r>
              <a:rPr lang="ja-JP" altLang="en-US" sz="1200" b="1">
                <a:solidFill>
                  <a:sysClr val="windowText" lastClr="000000"/>
                </a:solidFill>
                <a:effectLst/>
              </a:rPr>
              <a:t>　同一地点でも２つの測地系の値には違いがありますので、どちらの測地系なのか確認をお願いします。</a:t>
            </a:r>
            <a:endParaRPr lang="en-US" altLang="ja-JP" sz="1200" b="1">
              <a:solidFill>
                <a:sysClr val="windowText" lastClr="000000"/>
              </a:solidFill>
              <a:effectLst/>
            </a:endParaRPr>
          </a:p>
          <a:p>
            <a:r>
              <a:rPr kumimoji="1" lang="ja-JP" altLang="en-US" sz="1200" b="1">
                <a:solidFill>
                  <a:sysClr val="windowText" lastClr="000000"/>
                </a:solidFill>
                <a:effectLst/>
              </a:rPr>
              <a:t>　一例では、</a:t>
            </a:r>
            <a:r>
              <a:rPr kumimoji="1" lang="en-US" altLang="ja-JP" sz="1200" b="1">
                <a:solidFill>
                  <a:sysClr val="windowText" lastClr="000000"/>
                </a:solidFill>
                <a:effectLst/>
              </a:rPr>
              <a:t>Google</a:t>
            </a:r>
            <a:r>
              <a:rPr kumimoji="1" lang="ja-JP" altLang="en-US" sz="1200" b="1">
                <a:solidFill>
                  <a:sysClr val="windowText" lastClr="000000"/>
                </a:solidFill>
                <a:effectLst/>
              </a:rPr>
              <a:t>マップは世界測地系を採用しています。</a:t>
            </a:r>
            <a:endParaRPr kumimoji="1" lang="en-US" altLang="ja-JP" sz="1200" b="1">
              <a:solidFill>
                <a:sysClr val="windowText" lastClr="000000"/>
              </a:solidFill>
              <a:effectLst/>
            </a:endParaRPr>
          </a:p>
          <a:p>
            <a:r>
              <a:rPr kumimoji="1" lang="ja-JP" altLang="en-US" sz="1200" b="1">
                <a:solidFill>
                  <a:sysClr val="windowText" lastClr="000000"/>
                </a:solidFill>
                <a:effectLst/>
              </a:rPr>
              <a:t>　　</a:t>
            </a:r>
            <a:r>
              <a:rPr kumimoji="1" lang="en-US" altLang="ja-JP" sz="1200" b="1">
                <a:solidFill>
                  <a:sysClr val="windowText" lastClr="000000"/>
                </a:solidFill>
                <a:effectLst/>
              </a:rPr>
              <a:t>※</a:t>
            </a:r>
            <a:r>
              <a:rPr kumimoji="1" lang="ja-JP" altLang="en-US" sz="1200" b="1">
                <a:solidFill>
                  <a:sysClr val="windowText" lastClr="000000"/>
                </a:solidFill>
                <a:effectLst/>
              </a:rPr>
              <a:t>参考</a:t>
            </a:r>
            <a:r>
              <a:rPr kumimoji="1" lang="en-US" altLang="ja-JP" sz="1200" b="1">
                <a:solidFill>
                  <a:sysClr val="windowText" lastClr="000000"/>
                </a:solidFill>
              </a:rPr>
              <a:t>URL</a:t>
            </a:r>
            <a:r>
              <a:rPr kumimoji="1" lang="ja-JP" altLang="en-US" sz="1200" b="1">
                <a:solidFill>
                  <a:sysClr val="windowText" lastClr="000000"/>
                </a:solidFill>
              </a:rPr>
              <a:t>　</a:t>
            </a:r>
            <a:r>
              <a:rPr kumimoji="1" lang="en-US" altLang="ja-JP" sz="1200" b="1">
                <a:solidFill>
                  <a:sysClr val="windowText" lastClr="000000"/>
                </a:solidFill>
              </a:rPr>
              <a:t>https://www.google.co.jp/maps/</a:t>
            </a:r>
            <a:endParaRPr kumimoji="1" lang="ja-JP" altLang="en-US" sz="1200" b="1">
              <a:solidFill>
                <a:sysClr val="windowText" lastClr="000000"/>
              </a:solidFill>
            </a:endParaRPr>
          </a:p>
        </xdr:txBody>
      </xdr:sp>
      <xdr:grpSp>
        <xdr:nvGrpSpPr>
          <xdr:cNvPr id="34" name="グループ化 33"/>
          <xdr:cNvGrpSpPr/>
        </xdr:nvGrpSpPr>
        <xdr:grpSpPr>
          <a:xfrm>
            <a:off x="11593285" y="18455850"/>
            <a:ext cx="9402138" cy="2639304"/>
            <a:chOff x="11544300" y="18174182"/>
            <a:chExt cx="9427991" cy="2590241"/>
          </a:xfrm>
        </xdr:grpSpPr>
        <xdr:sp macro="" textlink="">
          <xdr:nvSpPr>
            <xdr:cNvPr id="35" name="テキスト ボックス 34"/>
            <xdr:cNvSpPr txBox="1"/>
          </xdr:nvSpPr>
          <xdr:spPr>
            <a:xfrm>
              <a:off x="11544300" y="18174182"/>
              <a:ext cx="9427991" cy="904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200" b="1">
                  <a:solidFill>
                    <a:srgbClr val="0000FF"/>
                  </a:solidFill>
                </a:rPr>
                <a:t>★</a:t>
              </a:r>
              <a:r>
                <a:rPr kumimoji="1" lang="ja-JP" altLang="ja-JP" sz="1200" b="1">
                  <a:solidFill>
                    <a:srgbClr val="0000FF"/>
                  </a:solidFill>
                  <a:effectLst/>
                  <a:latin typeface="+mn-lt"/>
                  <a:ea typeface="+mn-ea"/>
                  <a:cs typeface="+mn-cs"/>
                </a:rPr>
                <a:t>５－</a:t>
              </a:r>
              <a:r>
                <a:rPr kumimoji="1" lang="ja-JP" altLang="en-US" sz="1200" b="1">
                  <a:solidFill>
                    <a:srgbClr val="0000FF"/>
                  </a:solidFill>
                  <a:effectLst/>
                  <a:latin typeface="+mn-lt"/>
                  <a:ea typeface="+mn-ea"/>
                  <a:cs typeface="+mn-cs"/>
                </a:rPr>
                <a:t>２２</a:t>
              </a:r>
              <a:r>
                <a:rPr kumimoji="1" lang="ja-JP" altLang="ja-JP" sz="1200" b="1">
                  <a:solidFill>
                    <a:srgbClr val="0000FF"/>
                  </a:solidFill>
                  <a:effectLst/>
                  <a:latin typeface="+mn-lt"/>
                  <a:ea typeface="+mn-ea"/>
                  <a:cs typeface="+mn-cs"/>
                </a:rPr>
                <a:t>～５－４</a:t>
              </a:r>
              <a:r>
                <a:rPr kumimoji="1" lang="ja-JP" altLang="en-US" sz="1200" b="1">
                  <a:solidFill>
                    <a:srgbClr val="0000FF"/>
                  </a:solidFill>
                  <a:effectLst/>
                  <a:latin typeface="+mn-lt"/>
                  <a:ea typeface="+mn-ea"/>
                  <a:cs typeface="+mn-cs"/>
                </a:rPr>
                <a:t>５</a:t>
              </a:r>
              <a:r>
                <a:rPr kumimoji="1" lang="ja-JP" altLang="ja-JP" sz="1200" b="1">
                  <a:solidFill>
                    <a:srgbClr val="0000FF"/>
                  </a:solidFill>
                  <a:effectLst/>
                  <a:latin typeface="+mn-lt"/>
                  <a:ea typeface="+mn-ea"/>
                  <a:cs typeface="+mn-cs"/>
                </a:rPr>
                <a:t>項　</a:t>
              </a:r>
              <a:r>
                <a:rPr kumimoji="1" lang="ja-JP" altLang="en-US" sz="1200" b="1">
                  <a:solidFill>
                    <a:srgbClr val="0000FF"/>
                  </a:solidFill>
                </a:rPr>
                <a:t>区画１～８の発電所（サイト）名称記入について</a:t>
              </a:r>
              <a:endParaRPr kumimoji="1" lang="en-US" altLang="ja-JP" sz="1200" b="1">
                <a:solidFill>
                  <a:srgbClr val="0000FF"/>
                </a:solidFill>
              </a:endParaRPr>
            </a:p>
            <a:p>
              <a:r>
                <a:rPr kumimoji="1" lang="ja-JP" altLang="en-US" sz="1200" b="1">
                  <a:solidFill>
                    <a:sysClr val="windowText" lastClr="000000"/>
                  </a:solidFill>
                </a:rPr>
                <a:t>　５．［発電所情報］の区画Ｎｏ．はサービス登録上のＮｏ．です。　お客様が別途付与した発電所名称や、番号と一致する必要はありません。</a:t>
              </a:r>
              <a:endParaRPr kumimoji="1" lang="en-US" altLang="ja-JP" sz="1200" b="1">
                <a:solidFill>
                  <a:sysClr val="windowText" lastClr="000000"/>
                </a:solidFill>
              </a:endParaRPr>
            </a:p>
            <a:p>
              <a:r>
                <a:rPr kumimoji="1" lang="ja-JP" altLang="en-US" sz="1200" b="1">
                  <a:solidFill>
                    <a:sysClr val="windowText" lastClr="000000"/>
                  </a:solidFill>
                </a:rPr>
                <a:t>　以下の例を参考に、パワーコンディショナ（ＰＣＳ）通信ＩＤの若い順に、区画 １ から発電所名称を記入願います。</a:t>
              </a:r>
            </a:p>
          </xdr:txBody>
        </xdr:sp>
        <xdr:pic>
          <xdr:nvPicPr>
            <xdr:cNvPr id="36" name="図 35"/>
            <xdr:cNvPicPr>
              <a:picLocks noChangeAspect="1"/>
            </xdr:cNvPicPr>
          </xdr:nvPicPr>
          <xdr:blipFill rotWithShape="1">
            <a:blip xmlns:r="http://schemas.openxmlformats.org/officeDocument/2006/relationships" r:embed="rId8"/>
            <a:srcRect l="5261" t="18798" r="50046" b="62959"/>
            <a:stretch/>
          </xdr:blipFill>
          <xdr:spPr>
            <a:xfrm>
              <a:off x="11727316" y="18785472"/>
              <a:ext cx="8078442" cy="1978951"/>
            </a:xfrm>
            <a:prstGeom prst="rect">
              <a:avLst/>
            </a:prstGeom>
          </xdr:spPr>
        </xdr:pic>
      </xdr:grpSp>
    </xdr:grpSp>
    <xdr:clientData/>
  </xdr:twoCellAnchor>
  <xdr:twoCellAnchor>
    <xdr:from>
      <xdr:col>12</xdr:col>
      <xdr:colOff>0</xdr:colOff>
      <xdr:row>113</xdr:row>
      <xdr:rowOff>168090</xdr:rowOff>
    </xdr:from>
    <xdr:to>
      <xdr:col>17</xdr:col>
      <xdr:colOff>564297</xdr:colOff>
      <xdr:row>136</xdr:row>
      <xdr:rowOff>17446</xdr:rowOff>
    </xdr:to>
    <xdr:grpSp>
      <xdr:nvGrpSpPr>
        <xdr:cNvPr id="88" name="グループ化 87"/>
        <xdr:cNvGrpSpPr/>
      </xdr:nvGrpSpPr>
      <xdr:grpSpPr>
        <a:xfrm>
          <a:off x="10852150" y="25434740"/>
          <a:ext cx="9092347" cy="3691106"/>
          <a:chOff x="11586882" y="24473649"/>
          <a:chExt cx="9865180" cy="3065444"/>
        </a:xfrm>
      </xdr:grpSpPr>
      <xdr:sp macro="" textlink="">
        <xdr:nvSpPr>
          <xdr:cNvPr id="89" name="テキスト ボックス 88"/>
          <xdr:cNvSpPr txBox="1"/>
        </xdr:nvSpPr>
        <xdr:spPr>
          <a:xfrm>
            <a:off x="11586882" y="24473649"/>
            <a:ext cx="9865180" cy="1092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200" b="1">
                <a:solidFill>
                  <a:srgbClr val="0000FF"/>
                </a:solidFill>
                <a:latin typeface="+mn-ea"/>
                <a:ea typeface="+mn-ea"/>
              </a:rPr>
              <a:t>★</a:t>
            </a:r>
            <a:r>
              <a:rPr kumimoji="1" lang="ja-JP" altLang="ja-JP" sz="1200" b="1">
                <a:solidFill>
                  <a:srgbClr val="0000FF"/>
                </a:solidFill>
                <a:effectLst/>
                <a:latin typeface="+mn-lt"/>
                <a:ea typeface="+mn-ea"/>
                <a:cs typeface="+mn-cs"/>
              </a:rPr>
              <a:t>８－９，８－１０項　</a:t>
            </a:r>
            <a:r>
              <a:rPr kumimoji="1" lang="ja-JP" altLang="en-US" sz="1200" b="1">
                <a:solidFill>
                  <a:srgbClr val="0000FF"/>
                </a:solidFill>
                <a:latin typeface="+mn-ea"/>
                <a:ea typeface="+mn-ea"/>
              </a:rPr>
              <a:t>方位角・傾斜角について</a:t>
            </a:r>
          </a:p>
          <a:p>
            <a:r>
              <a:rPr kumimoji="1" lang="ja-JP" altLang="en-US" sz="1200" b="1">
                <a:latin typeface="+mn-ea"/>
                <a:ea typeface="+mn-ea"/>
              </a:rPr>
              <a:t>　同一システム内で異なる方位角、傾斜角のパネルが混在する場合は、パネル枚数が最も多い方の情報を採用願います。</a:t>
            </a:r>
            <a:endParaRPr kumimoji="1" lang="en-US" altLang="ja-JP" sz="1200" b="1">
              <a:latin typeface="+mn-ea"/>
              <a:ea typeface="+mn-ea"/>
            </a:endParaRPr>
          </a:p>
          <a:p>
            <a:r>
              <a:rPr kumimoji="1" lang="ja-JP" altLang="en-US" sz="1200" b="1">
                <a:latin typeface="+mn-ea"/>
                <a:ea typeface="+mn-ea"/>
              </a:rPr>
              <a:t>　例）以下のようなＬ型物件の場合、設置パネルが１００枚の情報を採用願います。</a:t>
            </a:r>
          </a:p>
          <a:p>
            <a:r>
              <a:rPr kumimoji="1" lang="ja-JP" altLang="en-US" sz="1200" b="1">
                <a:latin typeface="+mn-ea"/>
                <a:ea typeface="+mn-ea"/>
              </a:rPr>
              <a:t>　　●方位角・・・実際は１０度ですが、入力は０～１８０度の範囲で１５度単位ですので、１０度に最も近い１５度を選択願います。</a:t>
            </a:r>
          </a:p>
          <a:p>
            <a:r>
              <a:rPr kumimoji="1" lang="ja-JP" altLang="en-US" sz="1200" b="1">
                <a:latin typeface="+mn-ea"/>
                <a:ea typeface="+mn-ea"/>
              </a:rPr>
              <a:t>　　●傾斜角・・・実際は２５度ですが、入力は水平０度～垂直９０度の範囲で１０</a:t>
            </a:r>
            <a:r>
              <a:rPr kumimoji="1" lang="ja-JP" altLang="en-US" sz="1200" b="1">
                <a:solidFill>
                  <a:sysClr val="windowText" lastClr="000000"/>
                </a:solidFill>
                <a:latin typeface="+mn-ea"/>
                <a:ea typeface="+mn-ea"/>
              </a:rPr>
              <a:t>度単位ですので、２５度を四捨五入した３０度を選択願います</a:t>
            </a:r>
            <a:r>
              <a:rPr kumimoji="1" lang="ja-JP" altLang="en-US" sz="1200" b="1">
                <a:latin typeface="+mn-ea"/>
                <a:ea typeface="+mn-ea"/>
              </a:rPr>
              <a:t>。</a:t>
            </a:r>
          </a:p>
        </xdr:txBody>
      </xdr:sp>
      <xdr:grpSp>
        <xdr:nvGrpSpPr>
          <xdr:cNvPr id="90" name="グループ化 89"/>
          <xdr:cNvGrpSpPr/>
        </xdr:nvGrpSpPr>
        <xdr:grpSpPr>
          <a:xfrm>
            <a:off x="12045195" y="26090803"/>
            <a:ext cx="3518861" cy="1132386"/>
            <a:chOff x="12045195" y="25945125"/>
            <a:chExt cx="3518861" cy="1132386"/>
          </a:xfrm>
        </xdr:grpSpPr>
        <xdr:sp macro="" textlink="">
          <xdr:nvSpPr>
            <xdr:cNvPr id="102" name="正方形/長方形 101"/>
            <xdr:cNvSpPr/>
          </xdr:nvSpPr>
          <xdr:spPr>
            <a:xfrm rot="20607301">
              <a:off x="12045195" y="25945125"/>
              <a:ext cx="1225059" cy="684264"/>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3" name="正方形/長方形 102"/>
            <xdr:cNvSpPr/>
          </xdr:nvSpPr>
          <xdr:spPr>
            <a:xfrm rot="20607301">
              <a:off x="12264173" y="26396155"/>
              <a:ext cx="3299883" cy="681356"/>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4" name="直線コネクタ 103"/>
            <xdr:cNvCxnSpPr/>
          </xdr:nvCxnSpPr>
          <xdr:spPr>
            <a:xfrm flipV="1">
              <a:off x="12177131" y="26485477"/>
              <a:ext cx="1196476" cy="287210"/>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5" name="テキスト ボックス 104"/>
            <xdr:cNvSpPr txBox="1"/>
          </xdr:nvSpPr>
          <xdr:spPr>
            <a:xfrm>
              <a:off x="12215198" y="26045168"/>
              <a:ext cx="872931"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方位角８０度</a:t>
              </a:r>
              <a:endParaRPr kumimoji="1" lang="en-US" altLang="ja-JP" sz="1000"/>
            </a:p>
            <a:p>
              <a:r>
                <a:rPr kumimoji="1" lang="ja-JP" altLang="en-US" sz="1000"/>
                <a:t>傾斜角３５度</a:t>
              </a:r>
              <a:endParaRPr kumimoji="1" lang="en-US" altLang="ja-JP" sz="1000"/>
            </a:p>
            <a:p>
              <a:r>
                <a:rPr kumimoji="1" lang="ja-JP" altLang="en-US" sz="1000"/>
                <a:t>パネル５０枚</a:t>
              </a:r>
            </a:p>
          </xdr:txBody>
        </xdr:sp>
        <xdr:sp macro="" textlink="">
          <xdr:nvSpPr>
            <xdr:cNvPr id="106" name="テキスト ボックス 105"/>
            <xdr:cNvSpPr txBox="1"/>
          </xdr:nvSpPr>
          <xdr:spPr>
            <a:xfrm>
              <a:off x="13715274" y="26388372"/>
              <a:ext cx="951543"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方位角１０度</a:t>
              </a:r>
              <a:endParaRPr kumimoji="1" lang="en-US" altLang="ja-JP" sz="1000"/>
            </a:p>
            <a:p>
              <a:r>
                <a:rPr kumimoji="1" lang="ja-JP" altLang="en-US" sz="1000"/>
                <a:t>傾斜角２５度</a:t>
              </a:r>
              <a:endParaRPr kumimoji="1" lang="en-US" altLang="ja-JP" sz="1000"/>
            </a:p>
            <a:p>
              <a:r>
                <a:rPr kumimoji="1" lang="ja-JP" altLang="en-US" sz="1000"/>
                <a:t>パネル１００枚</a:t>
              </a:r>
            </a:p>
          </xdr:txBody>
        </xdr:sp>
      </xdr:grpSp>
      <xdr:grpSp>
        <xdr:nvGrpSpPr>
          <xdr:cNvPr id="91" name="グループ化 90"/>
          <xdr:cNvGrpSpPr/>
        </xdr:nvGrpSpPr>
        <xdr:grpSpPr>
          <a:xfrm>
            <a:off x="16210537" y="25734048"/>
            <a:ext cx="2042749" cy="1805045"/>
            <a:chOff x="15616619" y="25588370"/>
            <a:chExt cx="2042749" cy="1805045"/>
          </a:xfrm>
        </xdr:grpSpPr>
        <xdr:grpSp>
          <xdr:nvGrpSpPr>
            <xdr:cNvPr id="92" name="グループ化 91"/>
            <xdr:cNvGrpSpPr/>
          </xdr:nvGrpSpPr>
          <xdr:grpSpPr>
            <a:xfrm>
              <a:off x="15616619" y="25948303"/>
              <a:ext cx="2042749" cy="1445112"/>
              <a:chOff x="13246578" y="24262095"/>
              <a:chExt cx="2066925" cy="1801882"/>
            </a:xfrm>
          </xdr:grpSpPr>
          <xdr:grpSp>
            <xdr:nvGrpSpPr>
              <xdr:cNvPr id="94" name="グループ化 93"/>
              <xdr:cNvGrpSpPr/>
            </xdr:nvGrpSpPr>
            <xdr:grpSpPr>
              <a:xfrm>
                <a:off x="14079264" y="24632416"/>
                <a:ext cx="410889" cy="1025744"/>
                <a:chOff x="14267793" y="24283345"/>
                <a:chExt cx="413845" cy="1021803"/>
              </a:xfrm>
            </xdr:grpSpPr>
            <xdr:cxnSp macro="">
              <xdr:nvCxnSpPr>
                <xdr:cNvPr id="99" name="直線コネクタ 98"/>
                <xdr:cNvCxnSpPr/>
              </xdr:nvCxnSpPr>
              <xdr:spPr>
                <a:xfrm>
                  <a:off x="14478000" y="24283347"/>
                  <a:ext cx="6569" cy="1021803"/>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 name="直線コネクタ 99"/>
                <xdr:cNvCxnSpPr/>
              </xdr:nvCxnSpPr>
              <xdr:spPr>
                <a:xfrm flipH="1">
                  <a:off x="14267793" y="24305172"/>
                  <a:ext cx="203638" cy="532087"/>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 name="直線コネクタ 100"/>
                <xdr:cNvCxnSpPr/>
              </xdr:nvCxnSpPr>
              <xdr:spPr>
                <a:xfrm>
                  <a:off x="14267793" y="24830690"/>
                  <a:ext cx="41384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95" name="テキスト ボックス 94"/>
              <xdr:cNvSpPr txBox="1"/>
            </xdr:nvSpPr>
            <xdr:spPr>
              <a:xfrm>
                <a:off x="13782673" y="24262095"/>
                <a:ext cx="1006953" cy="3437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kumimoji="1" lang="ja-JP" altLang="en-US" sz="1100"/>
                  <a:t>北（１８０度）</a:t>
                </a:r>
              </a:p>
            </xdr:txBody>
          </xdr:sp>
          <xdr:sp macro="" textlink="">
            <xdr:nvSpPr>
              <xdr:cNvPr id="96" name="テキスト ボックス 95"/>
              <xdr:cNvSpPr txBox="1"/>
            </xdr:nvSpPr>
            <xdr:spPr>
              <a:xfrm>
                <a:off x="13875228" y="25720191"/>
                <a:ext cx="819150" cy="3437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a:t>南（０度）</a:t>
                </a:r>
              </a:p>
            </xdr:txBody>
          </xdr:sp>
          <xdr:sp macro="" textlink="">
            <xdr:nvSpPr>
              <xdr:cNvPr id="97" name="テキスト ボックス 96"/>
              <xdr:cNvSpPr txBox="1"/>
            </xdr:nvSpPr>
            <xdr:spPr>
              <a:xfrm>
                <a:off x="13246578" y="24890201"/>
                <a:ext cx="726598" cy="57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a:t>西</a:t>
                </a:r>
                <a:endParaRPr kumimoji="1" lang="en-US" altLang="ja-JP" sz="1100"/>
              </a:p>
              <a:p>
                <a:pPr algn="ctr"/>
                <a:r>
                  <a:rPr kumimoji="1" lang="ja-JP" altLang="en-US" sz="1100"/>
                  <a:t>（９０度）</a:t>
                </a:r>
              </a:p>
            </xdr:txBody>
          </xdr:sp>
          <xdr:sp macro="" textlink="">
            <xdr:nvSpPr>
              <xdr:cNvPr id="98" name="テキスト ボックス 97"/>
              <xdr:cNvSpPr txBox="1"/>
            </xdr:nvSpPr>
            <xdr:spPr>
              <a:xfrm>
                <a:off x="14582774" y="24892389"/>
                <a:ext cx="730729" cy="57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a:t>東</a:t>
                </a:r>
                <a:endParaRPr kumimoji="1" lang="en-US" altLang="ja-JP" sz="1100"/>
              </a:p>
              <a:p>
                <a:pPr algn="ctr"/>
                <a:r>
                  <a:rPr kumimoji="1" lang="ja-JP" altLang="en-US" sz="1100"/>
                  <a:t>（９０度）</a:t>
                </a:r>
              </a:p>
            </xdr:txBody>
          </xdr:sp>
        </xdr:grpSp>
        <xdr:sp macro="" textlink="">
          <xdr:nvSpPr>
            <xdr:cNvPr id="93" name="テキスト ボックス 92"/>
            <xdr:cNvSpPr txBox="1"/>
          </xdr:nvSpPr>
          <xdr:spPr>
            <a:xfrm>
              <a:off x="16269428" y="25588370"/>
              <a:ext cx="734411" cy="292452"/>
            </a:xfrm>
            <a:prstGeom prst="rect">
              <a:avLst/>
            </a:prstGeom>
            <a:noFill/>
            <a:ln w="9525"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r>
                <a:rPr kumimoji="1" lang="ja-JP" altLang="en-US" sz="1200" b="1">
                  <a:solidFill>
                    <a:srgbClr val="0000FF"/>
                  </a:solidFill>
                  <a:latin typeface="+mn-ea"/>
                  <a:ea typeface="+mn-ea"/>
                </a:rPr>
                <a:t>方位角</a:t>
              </a:r>
              <a:endParaRPr kumimoji="1" lang="ja-JP" altLang="en-US" sz="1200" b="1">
                <a:latin typeface="+mn-ea"/>
                <a:ea typeface="+mn-ea"/>
              </a:endParaRPr>
            </a:p>
          </xdr:txBody>
        </xdr:sp>
      </xdr:grpSp>
    </xdr:grpSp>
    <xdr:clientData/>
  </xdr:twoCellAnchor>
  <xdr:twoCellAnchor>
    <xdr:from>
      <xdr:col>4</xdr:col>
      <xdr:colOff>559173</xdr:colOff>
      <xdr:row>10</xdr:row>
      <xdr:rowOff>44823</xdr:rowOff>
    </xdr:from>
    <xdr:to>
      <xdr:col>4</xdr:col>
      <xdr:colOff>559173</xdr:colOff>
      <xdr:row>10</xdr:row>
      <xdr:rowOff>235323</xdr:rowOff>
    </xdr:to>
    <xdr:cxnSp macro="">
      <xdr:nvCxnSpPr>
        <xdr:cNvPr id="107" name="直線矢印コネクタ 106"/>
        <xdr:cNvCxnSpPr/>
      </xdr:nvCxnSpPr>
      <xdr:spPr>
        <a:xfrm>
          <a:off x="6007473" y="2026023"/>
          <a:ext cx="0" cy="190500"/>
        </a:xfrm>
        <a:prstGeom prst="straightConnector1">
          <a:avLst/>
        </a:prstGeom>
        <a:ln w="25400">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3142128</xdr:colOff>
      <xdr:row>134</xdr:row>
      <xdr:rowOff>129403</xdr:rowOff>
    </xdr:from>
    <xdr:ext cx="553571" cy="275717"/>
    <xdr:sp macro="" textlink="">
      <xdr:nvSpPr>
        <xdr:cNvPr id="108" name="テキスト ボックス 107"/>
        <xdr:cNvSpPr txBox="1"/>
      </xdr:nvSpPr>
      <xdr:spPr>
        <a:xfrm>
          <a:off x="3646953" y="29456878"/>
          <a:ext cx="553571" cy="27571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en-US" altLang="ja-JP" sz="1100"/>
            <a:t>※</a:t>
          </a:r>
          <a:r>
            <a:rPr kumimoji="1" lang="ja-JP" altLang="en-US" sz="1100"/>
            <a:t>１６</a:t>
          </a:r>
        </a:p>
      </xdr:txBody>
    </xdr:sp>
    <xdr:clientData/>
  </xdr:oneCellAnchor>
  <xdr:twoCellAnchor>
    <xdr:from>
      <xdr:col>1</xdr:col>
      <xdr:colOff>2997574</xdr:colOff>
      <xdr:row>133</xdr:row>
      <xdr:rowOff>43143</xdr:rowOff>
    </xdr:from>
    <xdr:to>
      <xdr:col>1</xdr:col>
      <xdr:colOff>3204285</xdr:colOff>
      <xdr:row>137</xdr:row>
      <xdr:rowOff>143995</xdr:rowOff>
    </xdr:to>
    <xdr:sp macro="" textlink="">
      <xdr:nvSpPr>
        <xdr:cNvPr id="109" name="右中かっこ 108"/>
        <xdr:cNvSpPr/>
      </xdr:nvSpPr>
      <xdr:spPr>
        <a:xfrm>
          <a:off x="3502399" y="29199168"/>
          <a:ext cx="206711" cy="786652"/>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1009650</xdr:colOff>
      <xdr:row>293</xdr:row>
      <xdr:rowOff>457200</xdr:rowOff>
    </xdr:from>
    <xdr:to>
      <xdr:col>1</xdr:col>
      <xdr:colOff>1162050</xdr:colOff>
      <xdr:row>293</xdr:row>
      <xdr:rowOff>971550</xdr:rowOff>
    </xdr:to>
    <xdr:sp macro="" textlink="">
      <xdr:nvSpPr>
        <xdr:cNvPr id="110" name="左中かっこ 109"/>
        <xdr:cNvSpPr/>
      </xdr:nvSpPr>
      <xdr:spPr>
        <a:xfrm>
          <a:off x="1514475" y="57464325"/>
          <a:ext cx="152400" cy="5143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590551</xdr:colOff>
      <xdr:row>293</xdr:row>
      <xdr:rowOff>247649</xdr:rowOff>
    </xdr:from>
    <xdr:to>
      <xdr:col>1</xdr:col>
      <xdr:colOff>914401</xdr:colOff>
      <xdr:row>293</xdr:row>
      <xdr:rowOff>723900</xdr:rowOff>
    </xdr:to>
    <xdr:grpSp>
      <xdr:nvGrpSpPr>
        <xdr:cNvPr id="111" name="グループ化 110"/>
        <xdr:cNvGrpSpPr/>
      </xdr:nvGrpSpPr>
      <xdr:grpSpPr>
        <a:xfrm>
          <a:off x="1054101" y="55772049"/>
          <a:ext cx="323850" cy="476251"/>
          <a:chOff x="495300" y="57207150"/>
          <a:chExt cx="561975" cy="514350"/>
        </a:xfrm>
      </xdr:grpSpPr>
      <xdr:cxnSp macro="">
        <xdr:nvCxnSpPr>
          <xdr:cNvPr id="112" name="直線コネクタ 111"/>
          <xdr:cNvCxnSpPr/>
        </xdr:nvCxnSpPr>
        <xdr:spPr>
          <a:xfrm>
            <a:off x="495300" y="57207150"/>
            <a:ext cx="9525" cy="5048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直線矢印コネクタ 112"/>
          <xdr:cNvCxnSpPr/>
        </xdr:nvCxnSpPr>
        <xdr:spPr>
          <a:xfrm>
            <a:off x="504825" y="57721500"/>
            <a:ext cx="55245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8</xdr:col>
      <xdr:colOff>143994</xdr:colOff>
      <xdr:row>74</xdr:row>
      <xdr:rowOff>109584</xdr:rowOff>
    </xdr:from>
    <xdr:ext cx="437032" cy="338088"/>
    <xdr:sp macro="" textlink="">
      <xdr:nvSpPr>
        <xdr:cNvPr id="114" name="テキスト ボックス 113"/>
        <xdr:cNvSpPr txBox="1"/>
      </xdr:nvSpPr>
      <xdr:spPr>
        <a:xfrm>
          <a:off x="7916394" y="18159459"/>
          <a:ext cx="437032" cy="338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r>
            <a:rPr kumimoji="1" lang="en-US" altLang="ja-JP" sz="1100"/>
            <a:t>※</a:t>
          </a:r>
          <a:r>
            <a:rPr kumimoji="1" lang="ja-JP" altLang="en-US" sz="1100"/>
            <a:t>６</a:t>
          </a:r>
        </a:p>
      </xdr:txBody>
    </xdr:sp>
    <xdr:clientData/>
  </xdr:oneCellAnchor>
  <xdr:twoCellAnchor>
    <xdr:from>
      <xdr:col>7</xdr:col>
      <xdr:colOff>219075</xdr:colOff>
      <xdr:row>71</xdr:row>
      <xdr:rowOff>56030</xdr:rowOff>
    </xdr:from>
    <xdr:to>
      <xdr:col>8</xdr:col>
      <xdr:colOff>106456</xdr:colOff>
      <xdr:row>94</xdr:row>
      <xdr:rowOff>134471</xdr:rowOff>
    </xdr:to>
    <xdr:sp macro="" textlink="">
      <xdr:nvSpPr>
        <xdr:cNvPr id="115" name="右中かっこ 114"/>
        <xdr:cNvSpPr/>
      </xdr:nvSpPr>
      <xdr:spPr>
        <a:xfrm>
          <a:off x="7486650" y="17591555"/>
          <a:ext cx="392206" cy="4059891"/>
        </a:xfrm>
        <a:prstGeom prst="rightBrace">
          <a:avLst>
            <a:gd name="adj1" fmla="val 8333"/>
            <a:gd name="adj2" fmla="val 18093"/>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171450</xdr:colOff>
          <xdr:row>9</xdr:row>
          <xdr:rowOff>279400</xdr:rowOff>
        </xdr:from>
        <xdr:to>
          <xdr:col>4</xdr:col>
          <xdr:colOff>2705100</xdr:colOff>
          <xdr:row>9</xdr:row>
          <xdr:rowOff>469900</xdr:rowOff>
        </xdr:to>
        <xdr:sp macro="" textlink="">
          <xdr:nvSpPr>
            <xdr:cNvPr id="10241" name="Check Box 1" hidden="1">
              <a:extLst>
                <a:ext uri="{63B3BB69-23CF-44E3-9099-C40C66FF867C}">
                  <a14:compatExt spid="_x0000_s1024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左記注意事項に同意します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13</xdr:row>
          <xdr:rowOff>19050</xdr:rowOff>
        </xdr:from>
        <xdr:to>
          <xdr:col>4</xdr:col>
          <xdr:colOff>1250950</xdr:colOff>
          <xdr:row>13</xdr:row>
          <xdr:rowOff>190500</xdr:rowOff>
        </xdr:to>
        <xdr:sp macro="" textlink="">
          <xdr:nvSpPr>
            <xdr:cNvPr id="10256" name="Check Box 16" hidden="1">
              <a:extLst>
                <a:ext uri="{63B3BB69-23CF-44E3-9099-C40C66FF867C}">
                  <a14:compatExt spid="_x0000_s1025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13</xdr:row>
          <xdr:rowOff>19050</xdr:rowOff>
        </xdr:from>
        <xdr:to>
          <xdr:col>4</xdr:col>
          <xdr:colOff>2717800</xdr:colOff>
          <xdr:row>13</xdr:row>
          <xdr:rowOff>190500</xdr:rowOff>
        </xdr:to>
        <xdr:sp macro="" textlink="">
          <xdr:nvSpPr>
            <xdr:cNvPr id="10257" name="Check Box 17" hidden="1">
              <a:extLst>
                <a:ext uri="{63B3BB69-23CF-44E3-9099-C40C66FF867C}">
                  <a14:compatExt spid="_x0000_s1025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14</xdr:row>
          <xdr:rowOff>12700</xdr:rowOff>
        </xdr:from>
        <xdr:to>
          <xdr:col>4</xdr:col>
          <xdr:colOff>1250950</xdr:colOff>
          <xdr:row>14</xdr:row>
          <xdr:rowOff>184150</xdr:rowOff>
        </xdr:to>
        <xdr:sp macro="" textlink="">
          <xdr:nvSpPr>
            <xdr:cNvPr id="10258" name="Check Box 18" hidden="1">
              <a:extLst>
                <a:ext uri="{63B3BB69-23CF-44E3-9099-C40C66FF867C}">
                  <a14:compatExt spid="_x0000_s1025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14</xdr:row>
          <xdr:rowOff>12700</xdr:rowOff>
        </xdr:from>
        <xdr:to>
          <xdr:col>4</xdr:col>
          <xdr:colOff>2717800</xdr:colOff>
          <xdr:row>14</xdr:row>
          <xdr:rowOff>184150</xdr:rowOff>
        </xdr:to>
        <xdr:sp macro="" textlink="">
          <xdr:nvSpPr>
            <xdr:cNvPr id="10259" name="Check Box 19" hidden="1">
              <a:extLst>
                <a:ext uri="{63B3BB69-23CF-44E3-9099-C40C66FF867C}">
                  <a14:compatExt spid="_x0000_s1025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15</xdr:row>
          <xdr:rowOff>12700</xdr:rowOff>
        </xdr:from>
        <xdr:to>
          <xdr:col>4</xdr:col>
          <xdr:colOff>1250950</xdr:colOff>
          <xdr:row>15</xdr:row>
          <xdr:rowOff>184150</xdr:rowOff>
        </xdr:to>
        <xdr:sp macro="" textlink="">
          <xdr:nvSpPr>
            <xdr:cNvPr id="10260" name="Check Box 20" hidden="1">
              <a:extLst>
                <a:ext uri="{63B3BB69-23CF-44E3-9099-C40C66FF867C}">
                  <a14:compatExt spid="_x0000_s1026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15</xdr:row>
          <xdr:rowOff>12700</xdr:rowOff>
        </xdr:from>
        <xdr:to>
          <xdr:col>4</xdr:col>
          <xdr:colOff>2717800</xdr:colOff>
          <xdr:row>15</xdr:row>
          <xdr:rowOff>184150</xdr:rowOff>
        </xdr:to>
        <xdr:sp macro="" textlink="">
          <xdr:nvSpPr>
            <xdr:cNvPr id="10261" name="Check Box 21" hidden="1">
              <a:extLst>
                <a:ext uri="{63B3BB69-23CF-44E3-9099-C40C66FF867C}">
                  <a14:compatExt spid="_x0000_s1026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16</xdr:row>
          <xdr:rowOff>19050</xdr:rowOff>
        </xdr:from>
        <xdr:to>
          <xdr:col>4</xdr:col>
          <xdr:colOff>1250950</xdr:colOff>
          <xdr:row>16</xdr:row>
          <xdr:rowOff>190500</xdr:rowOff>
        </xdr:to>
        <xdr:sp macro="" textlink="">
          <xdr:nvSpPr>
            <xdr:cNvPr id="10262" name="Check Box 22" hidden="1">
              <a:extLst>
                <a:ext uri="{63B3BB69-23CF-44E3-9099-C40C66FF867C}">
                  <a14:compatExt spid="_x0000_s1026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16</xdr:row>
          <xdr:rowOff>19050</xdr:rowOff>
        </xdr:from>
        <xdr:to>
          <xdr:col>4</xdr:col>
          <xdr:colOff>2717800</xdr:colOff>
          <xdr:row>16</xdr:row>
          <xdr:rowOff>190500</xdr:rowOff>
        </xdr:to>
        <xdr:sp macro="" textlink="">
          <xdr:nvSpPr>
            <xdr:cNvPr id="10263" name="Check Box 23" hidden="1">
              <a:extLst>
                <a:ext uri="{63B3BB69-23CF-44E3-9099-C40C66FF867C}">
                  <a14:compatExt spid="_x0000_s1026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17</xdr:row>
          <xdr:rowOff>19050</xdr:rowOff>
        </xdr:from>
        <xdr:to>
          <xdr:col>4</xdr:col>
          <xdr:colOff>1250950</xdr:colOff>
          <xdr:row>17</xdr:row>
          <xdr:rowOff>190500</xdr:rowOff>
        </xdr:to>
        <xdr:sp macro="" textlink="">
          <xdr:nvSpPr>
            <xdr:cNvPr id="10264" name="Check Box 24" hidden="1">
              <a:extLst>
                <a:ext uri="{63B3BB69-23CF-44E3-9099-C40C66FF867C}">
                  <a14:compatExt spid="_x0000_s1026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17</xdr:row>
          <xdr:rowOff>19050</xdr:rowOff>
        </xdr:from>
        <xdr:to>
          <xdr:col>4</xdr:col>
          <xdr:colOff>2717800</xdr:colOff>
          <xdr:row>17</xdr:row>
          <xdr:rowOff>190500</xdr:rowOff>
        </xdr:to>
        <xdr:sp macro="" textlink="">
          <xdr:nvSpPr>
            <xdr:cNvPr id="10265" name="Check Box 25" hidden="1">
              <a:extLst>
                <a:ext uri="{63B3BB69-23CF-44E3-9099-C40C66FF867C}">
                  <a14:compatExt spid="_x0000_s1026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18</xdr:row>
          <xdr:rowOff>19050</xdr:rowOff>
        </xdr:from>
        <xdr:to>
          <xdr:col>4</xdr:col>
          <xdr:colOff>1250950</xdr:colOff>
          <xdr:row>18</xdr:row>
          <xdr:rowOff>190500</xdr:rowOff>
        </xdr:to>
        <xdr:sp macro="" textlink="">
          <xdr:nvSpPr>
            <xdr:cNvPr id="10266" name="Check Box 26" hidden="1">
              <a:extLst>
                <a:ext uri="{63B3BB69-23CF-44E3-9099-C40C66FF867C}">
                  <a14:compatExt spid="_x0000_s1026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18</xdr:row>
          <xdr:rowOff>19050</xdr:rowOff>
        </xdr:from>
        <xdr:to>
          <xdr:col>4</xdr:col>
          <xdr:colOff>2717800</xdr:colOff>
          <xdr:row>18</xdr:row>
          <xdr:rowOff>190500</xdr:rowOff>
        </xdr:to>
        <xdr:sp macro="" textlink="">
          <xdr:nvSpPr>
            <xdr:cNvPr id="10267" name="Check Box 27" hidden="1">
              <a:extLst>
                <a:ext uri="{63B3BB69-23CF-44E3-9099-C40C66FF867C}">
                  <a14:compatExt spid="_x0000_s1026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19</xdr:row>
          <xdr:rowOff>19050</xdr:rowOff>
        </xdr:from>
        <xdr:to>
          <xdr:col>4</xdr:col>
          <xdr:colOff>1250950</xdr:colOff>
          <xdr:row>19</xdr:row>
          <xdr:rowOff>190500</xdr:rowOff>
        </xdr:to>
        <xdr:sp macro="" textlink="">
          <xdr:nvSpPr>
            <xdr:cNvPr id="10268" name="Check Box 28" hidden="1">
              <a:extLst>
                <a:ext uri="{63B3BB69-23CF-44E3-9099-C40C66FF867C}">
                  <a14:compatExt spid="_x0000_s1026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19</xdr:row>
          <xdr:rowOff>19050</xdr:rowOff>
        </xdr:from>
        <xdr:to>
          <xdr:col>4</xdr:col>
          <xdr:colOff>2717800</xdr:colOff>
          <xdr:row>19</xdr:row>
          <xdr:rowOff>190500</xdr:rowOff>
        </xdr:to>
        <xdr:sp macro="" textlink="">
          <xdr:nvSpPr>
            <xdr:cNvPr id="10269" name="Check Box 29" hidden="1">
              <a:extLst>
                <a:ext uri="{63B3BB69-23CF-44E3-9099-C40C66FF867C}">
                  <a14:compatExt spid="_x0000_s1026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20</xdr:row>
          <xdr:rowOff>19050</xdr:rowOff>
        </xdr:from>
        <xdr:to>
          <xdr:col>4</xdr:col>
          <xdr:colOff>1250950</xdr:colOff>
          <xdr:row>20</xdr:row>
          <xdr:rowOff>190500</xdr:rowOff>
        </xdr:to>
        <xdr:sp macro="" textlink="">
          <xdr:nvSpPr>
            <xdr:cNvPr id="10270" name="Check Box 30" hidden="1">
              <a:extLst>
                <a:ext uri="{63B3BB69-23CF-44E3-9099-C40C66FF867C}">
                  <a14:compatExt spid="_x0000_s1027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20</xdr:row>
          <xdr:rowOff>19050</xdr:rowOff>
        </xdr:from>
        <xdr:to>
          <xdr:col>4</xdr:col>
          <xdr:colOff>2717800</xdr:colOff>
          <xdr:row>20</xdr:row>
          <xdr:rowOff>190500</xdr:rowOff>
        </xdr:to>
        <xdr:sp macro="" textlink="">
          <xdr:nvSpPr>
            <xdr:cNvPr id="10271" name="Check Box 31" hidden="1">
              <a:extLst>
                <a:ext uri="{63B3BB69-23CF-44E3-9099-C40C66FF867C}">
                  <a14:compatExt spid="_x0000_s1027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21</xdr:row>
          <xdr:rowOff>19050</xdr:rowOff>
        </xdr:from>
        <xdr:to>
          <xdr:col>4</xdr:col>
          <xdr:colOff>1250950</xdr:colOff>
          <xdr:row>21</xdr:row>
          <xdr:rowOff>190500</xdr:rowOff>
        </xdr:to>
        <xdr:sp macro="" textlink="">
          <xdr:nvSpPr>
            <xdr:cNvPr id="10272" name="Check Box 32" hidden="1">
              <a:extLst>
                <a:ext uri="{63B3BB69-23CF-44E3-9099-C40C66FF867C}">
                  <a14:compatExt spid="_x0000_s1027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21</xdr:row>
          <xdr:rowOff>19050</xdr:rowOff>
        </xdr:from>
        <xdr:to>
          <xdr:col>4</xdr:col>
          <xdr:colOff>2717800</xdr:colOff>
          <xdr:row>21</xdr:row>
          <xdr:rowOff>190500</xdr:rowOff>
        </xdr:to>
        <xdr:sp macro="" textlink="">
          <xdr:nvSpPr>
            <xdr:cNvPr id="10273" name="Check Box 33" hidden="1">
              <a:extLst>
                <a:ext uri="{63B3BB69-23CF-44E3-9099-C40C66FF867C}">
                  <a14:compatExt spid="_x0000_s1027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22</xdr:row>
          <xdr:rowOff>19050</xdr:rowOff>
        </xdr:from>
        <xdr:to>
          <xdr:col>4</xdr:col>
          <xdr:colOff>1250950</xdr:colOff>
          <xdr:row>22</xdr:row>
          <xdr:rowOff>190500</xdr:rowOff>
        </xdr:to>
        <xdr:sp macro="" textlink="">
          <xdr:nvSpPr>
            <xdr:cNvPr id="10274" name="Check Box 34" hidden="1">
              <a:extLst>
                <a:ext uri="{63B3BB69-23CF-44E3-9099-C40C66FF867C}">
                  <a14:compatExt spid="_x0000_s1027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22</xdr:row>
          <xdr:rowOff>19050</xdr:rowOff>
        </xdr:from>
        <xdr:to>
          <xdr:col>4</xdr:col>
          <xdr:colOff>2717800</xdr:colOff>
          <xdr:row>22</xdr:row>
          <xdr:rowOff>190500</xdr:rowOff>
        </xdr:to>
        <xdr:sp macro="" textlink="">
          <xdr:nvSpPr>
            <xdr:cNvPr id="10275" name="Check Box 35" hidden="1">
              <a:extLst>
                <a:ext uri="{63B3BB69-23CF-44E3-9099-C40C66FF867C}">
                  <a14:compatExt spid="_x0000_s1027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25</xdr:row>
          <xdr:rowOff>190500</xdr:rowOff>
        </xdr:from>
        <xdr:to>
          <xdr:col>1</xdr:col>
          <xdr:colOff>1028700</xdr:colOff>
          <xdr:row>27</xdr:row>
          <xdr:rowOff>0</xdr:rowOff>
        </xdr:to>
        <xdr:sp macro="" textlink="">
          <xdr:nvSpPr>
            <xdr:cNvPr id="10276" name="Check Box 36" hidden="1">
              <a:extLst>
                <a:ext uri="{63B3BB69-23CF-44E3-9099-C40C66FF867C}">
                  <a14:compatExt spid="_x0000_s1027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25</xdr:row>
          <xdr:rowOff>203200</xdr:rowOff>
        </xdr:from>
        <xdr:to>
          <xdr:col>3</xdr:col>
          <xdr:colOff>355600</xdr:colOff>
          <xdr:row>27</xdr:row>
          <xdr:rowOff>0</xdr:rowOff>
        </xdr:to>
        <xdr:sp macro="" textlink="">
          <xdr:nvSpPr>
            <xdr:cNvPr id="10277" name="Check Box 37" hidden="1">
              <a:extLst>
                <a:ext uri="{63B3BB69-23CF-44E3-9099-C40C66FF867C}">
                  <a14:compatExt spid="_x0000_s1027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屋内（収容箱含む）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26</xdr:row>
          <xdr:rowOff>171450</xdr:rowOff>
        </xdr:from>
        <xdr:to>
          <xdr:col>1</xdr:col>
          <xdr:colOff>1028700</xdr:colOff>
          <xdr:row>27</xdr:row>
          <xdr:rowOff>190500</xdr:rowOff>
        </xdr:to>
        <xdr:sp macro="" textlink="">
          <xdr:nvSpPr>
            <xdr:cNvPr id="10278" name="Check Box 38" hidden="1">
              <a:extLst>
                <a:ext uri="{63B3BB69-23CF-44E3-9099-C40C66FF867C}">
                  <a14:compatExt spid="_x0000_s1027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野立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26</xdr:row>
          <xdr:rowOff>171450</xdr:rowOff>
        </xdr:from>
        <xdr:to>
          <xdr:col>2</xdr:col>
          <xdr:colOff>1727200</xdr:colOff>
          <xdr:row>27</xdr:row>
          <xdr:rowOff>190500</xdr:rowOff>
        </xdr:to>
        <xdr:sp macro="" textlink="">
          <xdr:nvSpPr>
            <xdr:cNvPr id="10279" name="Check Box 39" hidden="1">
              <a:extLst>
                <a:ext uri="{63B3BB69-23CF-44E3-9099-C40C66FF867C}">
                  <a14:compatExt spid="_x0000_s1027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27</xdr:row>
          <xdr:rowOff>190500</xdr:rowOff>
        </xdr:from>
        <xdr:to>
          <xdr:col>2</xdr:col>
          <xdr:colOff>742950</xdr:colOff>
          <xdr:row>29</xdr:row>
          <xdr:rowOff>0</xdr:rowOff>
        </xdr:to>
        <xdr:sp macro="" textlink="">
          <xdr:nvSpPr>
            <xdr:cNvPr id="10280" name="Check Box 40" hidden="1">
              <a:extLst>
                <a:ext uri="{63B3BB69-23CF-44E3-9099-C40C66FF867C}">
                  <a14:compatExt spid="_x0000_s1028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0～0.5m未満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26</xdr:row>
          <xdr:rowOff>171450</xdr:rowOff>
        </xdr:from>
        <xdr:to>
          <xdr:col>4</xdr:col>
          <xdr:colOff>850900</xdr:colOff>
          <xdr:row>27</xdr:row>
          <xdr:rowOff>190500</xdr:rowOff>
        </xdr:to>
        <xdr:sp macro="" textlink="">
          <xdr:nvSpPr>
            <xdr:cNvPr id="10284" name="Check Box 44" hidden="1">
              <a:extLst>
                <a:ext uri="{63B3BB69-23CF-44E3-9099-C40C66FF867C}">
                  <a14:compatExt spid="_x0000_s1028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27</xdr:row>
          <xdr:rowOff>190500</xdr:rowOff>
        </xdr:from>
        <xdr:to>
          <xdr:col>3</xdr:col>
          <xdr:colOff>495300</xdr:colOff>
          <xdr:row>29</xdr:row>
          <xdr:rowOff>0</xdr:rowOff>
        </xdr:to>
        <xdr:sp macro="" textlink="">
          <xdr:nvSpPr>
            <xdr:cNvPr id="10291" name="Check Box 51" hidden="1">
              <a:extLst>
                <a:ext uri="{63B3BB69-23CF-44E3-9099-C40C66FF867C}">
                  <a14:compatExt spid="_x0000_s1029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0.5～1m未満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28</xdr:row>
          <xdr:rowOff>0</xdr:rowOff>
        </xdr:from>
        <xdr:to>
          <xdr:col>4</xdr:col>
          <xdr:colOff>1638300</xdr:colOff>
          <xdr:row>29</xdr:row>
          <xdr:rowOff>0</xdr:rowOff>
        </xdr:to>
        <xdr:sp macro="" textlink="">
          <xdr:nvSpPr>
            <xdr:cNvPr id="10292" name="Check Box 52" hidden="1">
              <a:extLst>
                <a:ext uri="{63B3BB69-23CF-44E3-9099-C40C66FF867C}">
                  <a14:compatExt spid="_x0000_s1029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1～1.8m未満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2000250</xdr:colOff>
          <xdr:row>28</xdr:row>
          <xdr:rowOff>0</xdr:rowOff>
        </xdr:from>
        <xdr:to>
          <xdr:col>4</xdr:col>
          <xdr:colOff>3314700</xdr:colOff>
          <xdr:row>29</xdr:row>
          <xdr:rowOff>0</xdr:rowOff>
        </xdr:to>
        <xdr:sp macro="" textlink="">
          <xdr:nvSpPr>
            <xdr:cNvPr id="10293" name="Check Box 53" hidden="1">
              <a:extLst>
                <a:ext uri="{63B3BB69-23CF-44E3-9099-C40C66FF867C}">
                  <a14:compatExt spid="_x0000_s1029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1.8m以上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32</xdr:row>
          <xdr:rowOff>203200</xdr:rowOff>
        </xdr:from>
        <xdr:to>
          <xdr:col>1</xdr:col>
          <xdr:colOff>1028700</xdr:colOff>
          <xdr:row>34</xdr:row>
          <xdr:rowOff>0</xdr:rowOff>
        </xdr:to>
        <xdr:sp macro="" textlink="">
          <xdr:nvSpPr>
            <xdr:cNvPr id="10294" name="Check Box 54" hidden="1">
              <a:extLst>
                <a:ext uri="{63B3BB69-23CF-44E3-9099-C40C66FF867C}">
                  <a14:compatExt spid="_x0000_s1029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32</xdr:row>
          <xdr:rowOff>203200</xdr:rowOff>
        </xdr:from>
        <xdr:to>
          <xdr:col>3</xdr:col>
          <xdr:colOff>355600</xdr:colOff>
          <xdr:row>34</xdr:row>
          <xdr:rowOff>0</xdr:rowOff>
        </xdr:to>
        <xdr:sp macro="" textlink="">
          <xdr:nvSpPr>
            <xdr:cNvPr id="10295" name="Check Box 55" hidden="1">
              <a:extLst>
                <a:ext uri="{63B3BB69-23CF-44E3-9099-C40C66FF867C}">
                  <a14:compatExt spid="_x0000_s1029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屋内（収容箱含む）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34</xdr:row>
          <xdr:rowOff>19050</xdr:rowOff>
        </xdr:from>
        <xdr:to>
          <xdr:col>1</xdr:col>
          <xdr:colOff>1028700</xdr:colOff>
          <xdr:row>35</xdr:row>
          <xdr:rowOff>0</xdr:rowOff>
        </xdr:to>
        <xdr:sp macro="" textlink="">
          <xdr:nvSpPr>
            <xdr:cNvPr id="10296" name="Check Box 56" hidden="1">
              <a:extLst>
                <a:ext uri="{63B3BB69-23CF-44E3-9099-C40C66FF867C}">
                  <a14:compatExt spid="_x0000_s1029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野立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34</xdr:row>
          <xdr:rowOff>19050</xdr:rowOff>
        </xdr:from>
        <xdr:to>
          <xdr:col>2</xdr:col>
          <xdr:colOff>1727200</xdr:colOff>
          <xdr:row>35</xdr:row>
          <xdr:rowOff>0</xdr:rowOff>
        </xdr:to>
        <xdr:sp macro="" textlink="">
          <xdr:nvSpPr>
            <xdr:cNvPr id="10297" name="Check Box 57" hidden="1">
              <a:extLst>
                <a:ext uri="{63B3BB69-23CF-44E3-9099-C40C66FF867C}">
                  <a14:compatExt spid="_x0000_s1029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35</xdr:row>
          <xdr:rowOff>0</xdr:rowOff>
        </xdr:from>
        <xdr:to>
          <xdr:col>2</xdr:col>
          <xdr:colOff>742950</xdr:colOff>
          <xdr:row>36</xdr:row>
          <xdr:rowOff>0</xdr:rowOff>
        </xdr:to>
        <xdr:sp macro="" textlink="">
          <xdr:nvSpPr>
            <xdr:cNvPr id="10298" name="Check Box 58" hidden="1">
              <a:extLst>
                <a:ext uri="{63B3BB69-23CF-44E3-9099-C40C66FF867C}">
                  <a14:compatExt spid="_x0000_s1029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0～0.5m未満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34</xdr:row>
          <xdr:rowOff>19050</xdr:rowOff>
        </xdr:from>
        <xdr:to>
          <xdr:col>4</xdr:col>
          <xdr:colOff>850900</xdr:colOff>
          <xdr:row>35</xdr:row>
          <xdr:rowOff>0</xdr:rowOff>
        </xdr:to>
        <xdr:sp macro="" textlink="">
          <xdr:nvSpPr>
            <xdr:cNvPr id="10299" name="Check Box 59" hidden="1">
              <a:extLst>
                <a:ext uri="{63B3BB69-23CF-44E3-9099-C40C66FF867C}">
                  <a14:compatExt spid="_x0000_s1029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35</xdr:row>
          <xdr:rowOff>0</xdr:rowOff>
        </xdr:from>
        <xdr:to>
          <xdr:col>3</xdr:col>
          <xdr:colOff>495300</xdr:colOff>
          <xdr:row>36</xdr:row>
          <xdr:rowOff>0</xdr:rowOff>
        </xdr:to>
        <xdr:sp macro="" textlink="">
          <xdr:nvSpPr>
            <xdr:cNvPr id="10300" name="Check Box 60" hidden="1">
              <a:extLst>
                <a:ext uri="{63B3BB69-23CF-44E3-9099-C40C66FF867C}">
                  <a14:compatExt spid="_x0000_s1030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0.5～1m未満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35</xdr:row>
          <xdr:rowOff>0</xdr:rowOff>
        </xdr:from>
        <xdr:to>
          <xdr:col>4</xdr:col>
          <xdr:colOff>1600200</xdr:colOff>
          <xdr:row>36</xdr:row>
          <xdr:rowOff>0</xdr:rowOff>
        </xdr:to>
        <xdr:sp macro="" textlink="">
          <xdr:nvSpPr>
            <xdr:cNvPr id="10301" name="Check Box 61" hidden="1">
              <a:extLst>
                <a:ext uri="{63B3BB69-23CF-44E3-9099-C40C66FF867C}">
                  <a14:compatExt spid="_x0000_s1030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1～1.8m未満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2000250</xdr:colOff>
          <xdr:row>35</xdr:row>
          <xdr:rowOff>0</xdr:rowOff>
        </xdr:from>
        <xdr:to>
          <xdr:col>4</xdr:col>
          <xdr:colOff>3314700</xdr:colOff>
          <xdr:row>36</xdr:row>
          <xdr:rowOff>0</xdr:rowOff>
        </xdr:to>
        <xdr:sp macro="" textlink="">
          <xdr:nvSpPr>
            <xdr:cNvPr id="10302" name="Check Box 62" hidden="1">
              <a:extLst>
                <a:ext uri="{63B3BB69-23CF-44E3-9099-C40C66FF867C}">
                  <a14:compatExt spid="_x0000_s1030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1.8m以上</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171450</xdr:colOff>
          <xdr:row>54</xdr:row>
          <xdr:rowOff>203200</xdr:rowOff>
        </xdr:from>
        <xdr:to>
          <xdr:col>4</xdr:col>
          <xdr:colOff>2705100</xdr:colOff>
          <xdr:row>54</xdr:row>
          <xdr:rowOff>393700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注意事項／お願い事項に同意します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70</xdr:row>
          <xdr:rowOff>38100</xdr:rowOff>
        </xdr:from>
        <xdr:to>
          <xdr:col>4</xdr:col>
          <xdr:colOff>704850</xdr:colOff>
          <xdr:row>70</xdr:row>
          <xdr:rowOff>209550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1009650</xdr:colOff>
          <xdr:row>70</xdr:row>
          <xdr:rowOff>31750</xdr:rowOff>
        </xdr:from>
        <xdr:to>
          <xdr:col>4</xdr:col>
          <xdr:colOff>1917700</xdr:colOff>
          <xdr:row>70</xdr:row>
          <xdr:rowOff>209550</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九州電力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2209800</xdr:colOff>
          <xdr:row>70</xdr:row>
          <xdr:rowOff>31750</xdr:rowOff>
        </xdr:from>
        <xdr:to>
          <xdr:col>4</xdr:col>
          <xdr:colOff>3105150</xdr:colOff>
          <xdr:row>70</xdr:row>
          <xdr:rowOff>209550</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四国電力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1009650</xdr:colOff>
          <xdr:row>70</xdr:row>
          <xdr:rowOff>298450</xdr:rowOff>
        </xdr:from>
        <xdr:to>
          <xdr:col>4</xdr:col>
          <xdr:colOff>1936750</xdr:colOff>
          <xdr:row>70</xdr:row>
          <xdr:rowOff>488950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沖縄電力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83</xdr:row>
          <xdr:rowOff>19050</xdr:rowOff>
        </xdr:from>
        <xdr:to>
          <xdr:col>4</xdr:col>
          <xdr:colOff>1879600</xdr:colOff>
          <xdr:row>83</xdr:row>
          <xdr:rowOff>184150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ﾁｪｯｸなし（送信しない）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2146300</xdr:colOff>
          <xdr:row>83</xdr:row>
          <xdr:rowOff>19050</xdr:rowOff>
        </xdr:from>
        <xdr:to>
          <xdr:col>4</xdr:col>
          <xdr:colOff>3848100</xdr:colOff>
          <xdr:row>83</xdr:row>
          <xdr:rowOff>184150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ﾁｪｯｸあり（送信する）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87</xdr:row>
          <xdr:rowOff>133350</xdr:rowOff>
        </xdr:from>
        <xdr:to>
          <xdr:col>4</xdr:col>
          <xdr:colOff>1346200</xdr:colOff>
          <xdr:row>87</xdr:row>
          <xdr:rowOff>285750</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1924050</xdr:colOff>
          <xdr:row>87</xdr:row>
          <xdr:rowOff>133350</xdr:rowOff>
        </xdr:from>
        <xdr:to>
          <xdr:col>4</xdr:col>
          <xdr:colOff>2965450</xdr:colOff>
          <xdr:row>87</xdr:row>
          <xdr:rowOff>285750</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設定する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84</xdr:row>
          <xdr:rowOff>12700</xdr:rowOff>
        </xdr:from>
        <xdr:to>
          <xdr:col>4</xdr:col>
          <xdr:colOff>1879600</xdr:colOff>
          <xdr:row>84</xdr:row>
          <xdr:rowOff>171450</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ﾁｪｯｸなし（送信しない）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2146300</xdr:colOff>
          <xdr:row>84</xdr:row>
          <xdr:rowOff>12700</xdr:rowOff>
        </xdr:from>
        <xdr:to>
          <xdr:col>4</xdr:col>
          <xdr:colOff>3848100</xdr:colOff>
          <xdr:row>84</xdr:row>
          <xdr:rowOff>171450</xdr:rowOff>
        </xdr:to>
        <xdr:sp macro="" textlink="">
          <xdr:nvSpPr>
            <xdr:cNvPr id="1035" name="Check Box 11" hidden="1">
              <a:extLst>
                <a:ext uri="{63B3BB69-23CF-44E3-9099-C40C66FF867C}">
                  <a14:compatExt spid="_x0000_s103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ﾁｪｯｸあり（送信する）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85</xdr:row>
          <xdr:rowOff>12700</xdr:rowOff>
        </xdr:from>
        <xdr:to>
          <xdr:col>4</xdr:col>
          <xdr:colOff>1879600</xdr:colOff>
          <xdr:row>85</xdr:row>
          <xdr:rowOff>171450</xdr:rowOff>
        </xdr:to>
        <xdr:sp macro="" textlink="">
          <xdr:nvSpPr>
            <xdr:cNvPr id="1036" name="Check Box 12" hidden="1">
              <a:extLst>
                <a:ext uri="{63B3BB69-23CF-44E3-9099-C40C66FF867C}">
                  <a14:compatExt spid="_x0000_s103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ﾁｪｯｸなし（送信しない）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2146300</xdr:colOff>
          <xdr:row>85</xdr:row>
          <xdr:rowOff>12700</xdr:rowOff>
        </xdr:from>
        <xdr:to>
          <xdr:col>4</xdr:col>
          <xdr:colOff>3848100</xdr:colOff>
          <xdr:row>85</xdr:row>
          <xdr:rowOff>171450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ﾁｪｯｸあり（送信する）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86</xdr:row>
          <xdr:rowOff>12700</xdr:rowOff>
        </xdr:from>
        <xdr:to>
          <xdr:col>4</xdr:col>
          <xdr:colOff>1879600</xdr:colOff>
          <xdr:row>86</xdr:row>
          <xdr:rowOff>171450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ﾁｪｯｸなし（送信しない）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2146300</xdr:colOff>
          <xdr:row>86</xdr:row>
          <xdr:rowOff>12700</xdr:rowOff>
        </xdr:from>
        <xdr:to>
          <xdr:col>4</xdr:col>
          <xdr:colOff>3848100</xdr:colOff>
          <xdr:row>86</xdr:row>
          <xdr:rowOff>171450</xdr:rowOff>
        </xdr:to>
        <xdr:sp macro="" textlink="">
          <xdr:nvSpPr>
            <xdr:cNvPr id="1039" name="Check Box 15" hidden="1">
              <a:extLst>
                <a:ext uri="{63B3BB69-23CF-44E3-9099-C40C66FF867C}">
                  <a14:compatExt spid="_x0000_s103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ﾁｪｯｸあり（送信する）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117</xdr:row>
          <xdr:rowOff>12700</xdr:rowOff>
        </xdr:from>
        <xdr:to>
          <xdr:col>4</xdr:col>
          <xdr:colOff>1250950</xdr:colOff>
          <xdr:row>117</xdr:row>
          <xdr:rowOff>184150</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117</xdr:row>
          <xdr:rowOff>12700</xdr:rowOff>
        </xdr:from>
        <xdr:to>
          <xdr:col>4</xdr:col>
          <xdr:colOff>2717800</xdr:colOff>
          <xdr:row>117</xdr:row>
          <xdr:rowOff>184150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118</xdr:row>
          <xdr:rowOff>12700</xdr:rowOff>
        </xdr:from>
        <xdr:to>
          <xdr:col>4</xdr:col>
          <xdr:colOff>1250950</xdr:colOff>
          <xdr:row>118</xdr:row>
          <xdr:rowOff>184150</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118</xdr:row>
          <xdr:rowOff>12700</xdr:rowOff>
        </xdr:from>
        <xdr:to>
          <xdr:col>4</xdr:col>
          <xdr:colOff>2717800</xdr:colOff>
          <xdr:row>118</xdr:row>
          <xdr:rowOff>184150</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119</xdr:row>
          <xdr:rowOff>0</xdr:rowOff>
        </xdr:from>
        <xdr:to>
          <xdr:col>4</xdr:col>
          <xdr:colOff>1250950</xdr:colOff>
          <xdr:row>119</xdr:row>
          <xdr:rowOff>171450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119</xdr:row>
          <xdr:rowOff>0</xdr:rowOff>
        </xdr:from>
        <xdr:to>
          <xdr:col>4</xdr:col>
          <xdr:colOff>2717800</xdr:colOff>
          <xdr:row>119</xdr:row>
          <xdr:rowOff>171450</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120</xdr:row>
          <xdr:rowOff>0</xdr:rowOff>
        </xdr:from>
        <xdr:to>
          <xdr:col>4</xdr:col>
          <xdr:colOff>1250950</xdr:colOff>
          <xdr:row>120</xdr:row>
          <xdr:rowOff>171450</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120</xdr:row>
          <xdr:rowOff>0</xdr:rowOff>
        </xdr:from>
        <xdr:to>
          <xdr:col>4</xdr:col>
          <xdr:colOff>2717800</xdr:colOff>
          <xdr:row>120</xdr:row>
          <xdr:rowOff>171450</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121</xdr:row>
          <xdr:rowOff>0</xdr:rowOff>
        </xdr:from>
        <xdr:to>
          <xdr:col>4</xdr:col>
          <xdr:colOff>1250950</xdr:colOff>
          <xdr:row>121</xdr:row>
          <xdr:rowOff>171450</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121</xdr:row>
          <xdr:rowOff>0</xdr:rowOff>
        </xdr:from>
        <xdr:to>
          <xdr:col>4</xdr:col>
          <xdr:colOff>2717800</xdr:colOff>
          <xdr:row>121</xdr:row>
          <xdr:rowOff>171450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122</xdr:row>
          <xdr:rowOff>0</xdr:rowOff>
        </xdr:from>
        <xdr:to>
          <xdr:col>4</xdr:col>
          <xdr:colOff>1250950</xdr:colOff>
          <xdr:row>122</xdr:row>
          <xdr:rowOff>171450</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122</xdr:row>
          <xdr:rowOff>0</xdr:rowOff>
        </xdr:from>
        <xdr:to>
          <xdr:col>4</xdr:col>
          <xdr:colOff>2717800</xdr:colOff>
          <xdr:row>122</xdr:row>
          <xdr:rowOff>171450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123</xdr:row>
          <xdr:rowOff>0</xdr:rowOff>
        </xdr:from>
        <xdr:to>
          <xdr:col>4</xdr:col>
          <xdr:colOff>1250950</xdr:colOff>
          <xdr:row>123</xdr:row>
          <xdr:rowOff>171450</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123</xdr:row>
          <xdr:rowOff>0</xdr:rowOff>
        </xdr:from>
        <xdr:to>
          <xdr:col>4</xdr:col>
          <xdr:colOff>2717800</xdr:colOff>
          <xdr:row>123</xdr:row>
          <xdr:rowOff>171450</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124</xdr:row>
          <xdr:rowOff>12700</xdr:rowOff>
        </xdr:from>
        <xdr:to>
          <xdr:col>4</xdr:col>
          <xdr:colOff>1250950</xdr:colOff>
          <xdr:row>124</xdr:row>
          <xdr:rowOff>184150</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124</xdr:row>
          <xdr:rowOff>12700</xdr:rowOff>
        </xdr:from>
        <xdr:to>
          <xdr:col>4</xdr:col>
          <xdr:colOff>2717800</xdr:colOff>
          <xdr:row>124</xdr:row>
          <xdr:rowOff>184150</xdr:rowOff>
        </xdr:to>
        <xdr:sp macro="" textlink="">
          <xdr:nvSpPr>
            <xdr:cNvPr id="1055" name="Check Box 31" hidden="1">
              <a:extLst>
                <a:ext uri="{63B3BB69-23CF-44E3-9099-C40C66FF867C}">
                  <a14:compatExt spid="_x0000_s105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125</xdr:row>
          <xdr:rowOff>12700</xdr:rowOff>
        </xdr:from>
        <xdr:to>
          <xdr:col>4</xdr:col>
          <xdr:colOff>1250950</xdr:colOff>
          <xdr:row>125</xdr:row>
          <xdr:rowOff>184150</xdr:rowOff>
        </xdr:to>
        <xdr:sp macro="" textlink="">
          <xdr:nvSpPr>
            <xdr:cNvPr id="1056" name="Check Box 32" hidden="1">
              <a:extLst>
                <a:ext uri="{63B3BB69-23CF-44E3-9099-C40C66FF867C}">
                  <a14:compatExt spid="_x0000_s105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125</xdr:row>
          <xdr:rowOff>12700</xdr:rowOff>
        </xdr:from>
        <xdr:to>
          <xdr:col>4</xdr:col>
          <xdr:colOff>2717800</xdr:colOff>
          <xdr:row>125</xdr:row>
          <xdr:rowOff>184150</xdr:rowOff>
        </xdr:to>
        <xdr:sp macro="" textlink="">
          <xdr:nvSpPr>
            <xdr:cNvPr id="1057" name="Check Box 33" hidden="1">
              <a:extLst>
                <a:ext uri="{63B3BB69-23CF-44E3-9099-C40C66FF867C}">
                  <a14:compatExt spid="_x0000_s105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126</xdr:row>
          <xdr:rowOff>12700</xdr:rowOff>
        </xdr:from>
        <xdr:to>
          <xdr:col>4</xdr:col>
          <xdr:colOff>1250950</xdr:colOff>
          <xdr:row>126</xdr:row>
          <xdr:rowOff>184150</xdr:rowOff>
        </xdr:to>
        <xdr:sp macro="" textlink="">
          <xdr:nvSpPr>
            <xdr:cNvPr id="1058" name="Check Box 34" hidden="1">
              <a:extLst>
                <a:ext uri="{63B3BB69-23CF-44E3-9099-C40C66FF867C}">
                  <a14:compatExt spid="_x0000_s105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2095500</xdr:colOff>
          <xdr:row>126</xdr:row>
          <xdr:rowOff>12700</xdr:rowOff>
        </xdr:from>
        <xdr:to>
          <xdr:col>4</xdr:col>
          <xdr:colOff>2717800</xdr:colOff>
          <xdr:row>126</xdr:row>
          <xdr:rowOff>184150</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2209800</xdr:colOff>
          <xdr:row>70</xdr:row>
          <xdr:rowOff>298450</xdr:rowOff>
        </xdr:from>
        <xdr:to>
          <xdr:col>4</xdr:col>
          <xdr:colOff>2438400</xdr:colOff>
          <xdr:row>70</xdr:row>
          <xdr:rowOff>495300</xdr:rowOff>
        </xdr:to>
        <xdr:sp macro="" textlink="">
          <xdr:nvSpPr>
            <xdr:cNvPr id="1060" name="Check Box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93</xdr:row>
          <xdr:rowOff>203200</xdr:rowOff>
        </xdr:from>
        <xdr:to>
          <xdr:col>1</xdr:col>
          <xdr:colOff>1028700</xdr:colOff>
          <xdr:row>94</xdr:row>
          <xdr:rowOff>171450</xdr:rowOff>
        </xdr:to>
        <xdr:sp macro="" textlink="">
          <xdr:nvSpPr>
            <xdr:cNvPr id="1061" name="Check Box 37" hidden="1">
              <a:extLst>
                <a:ext uri="{63B3BB69-23CF-44E3-9099-C40C66FF867C}">
                  <a14:compatExt spid="_x0000_s106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93</xdr:row>
          <xdr:rowOff>203200</xdr:rowOff>
        </xdr:from>
        <xdr:to>
          <xdr:col>3</xdr:col>
          <xdr:colOff>355600</xdr:colOff>
          <xdr:row>94</xdr:row>
          <xdr:rowOff>171450</xdr:rowOff>
        </xdr:to>
        <xdr:sp macro="" textlink="">
          <xdr:nvSpPr>
            <xdr:cNvPr id="1062" name="Check Box 38" hidden="1">
              <a:extLst>
                <a:ext uri="{63B3BB69-23CF-44E3-9099-C40C66FF867C}">
                  <a14:compatExt spid="_x0000_s106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屋内（収容箱含む）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95</xdr:row>
          <xdr:rowOff>19050</xdr:rowOff>
        </xdr:from>
        <xdr:to>
          <xdr:col>1</xdr:col>
          <xdr:colOff>1028700</xdr:colOff>
          <xdr:row>95</xdr:row>
          <xdr:rowOff>171450</xdr:rowOff>
        </xdr:to>
        <xdr:sp macro="" textlink="">
          <xdr:nvSpPr>
            <xdr:cNvPr id="1063" name="Check Box 39" hidden="1">
              <a:extLst>
                <a:ext uri="{63B3BB69-23CF-44E3-9099-C40C66FF867C}">
                  <a14:compatExt spid="_x0000_s106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野立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95</xdr:row>
          <xdr:rowOff>19050</xdr:rowOff>
        </xdr:from>
        <xdr:to>
          <xdr:col>2</xdr:col>
          <xdr:colOff>1727200</xdr:colOff>
          <xdr:row>95</xdr:row>
          <xdr:rowOff>171450</xdr:rowOff>
        </xdr:to>
        <xdr:sp macro="" textlink="">
          <xdr:nvSpPr>
            <xdr:cNvPr id="1064" name="Check Box 40" hidden="1">
              <a:extLst>
                <a:ext uri="{63B3BB69-23CF-44E3-9099-C40C66FF867C}">
                  <a14:compatExt spid="_x0000_s106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96</xdr:row>
          <xdr:rowOff>0</xdr:rowOff>
        </xdr:from>
        <xdr:to>
          <xdr:col>2</xdr:col>
          <xdr:colOff>742950</xdr:colOff>
          <xdr:row>96</xdr:row>
          <xdr:rowOff>171450</xdr:rowOff>
        </xdr:to>
        <xdr:sp macro="" textlink="">
          <xdr:nvSpPr>
            <xdr:cNvPr id="1065" name="Check Box 41" hidden="1">
              <a:extLst>
                <a:ext uri="{63B3BB69-23CF-44E3-9099-C40C66FF867C}">
                  <a14:compatExt spid="_x0000_s106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0～0.5m未満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95</xdr:row>
          <xdr:rowOff>19050</xdr:rowOff>
        </xdr:from>
        <xdr:to>
          <xdr:col>4</xdr:col>
          <xdr:colOff>850900</xdr:colOff>
          <xdr:row>95</xdr:row>
          <xdr:rowOff>171450</xdr:rowOff>
        </xdr:to>
        <xdr:sp macro="" textlink="">
          <xdr:nvSpPr>
            <xdr:cNvPr id="1066" name="Check Box 42" hidden="1">
              <a:extLst>
                <a:ext uri="{63B3BB69-23CF-44E3-9099-C40C66FF867C}">
                  <a14:compatExt spid="_x0000_s106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96</xdr:row>
          <xdr:rowOff>0</xdr:rowOff>
        </xdr:from>
        <xdr:to>
          <xdr:col>3</xdr:col>
          <xdr:colOff>495300</xdr:colOff>
          <xdr:row>96</xdr:row>
          <xdr:rowOff>171450</xdr:rowOff>
        </xdr:to>
        <xdr:sp macro="" textlink="">
          <xdr:nvSpPr>
            <xdr:cNvPr id="1067" name="Check Box 43" hidden="1">
              <a:extLst>
                <a:ext uri="{63B3BB69-23CF-44E3-9099-C40C66FF867C}">
                  <a14:compatExt spid="_x0000_s106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0.5～1m未満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96</xdr:row>
          <xdr:rowOff>0</xdr:rowOff>
        </xdr:from>
        <xdr:to>
          <xdr:col>4</xdr:col>
          <xdr:colOff>1612900</xdr:colOff>
          <xdr:row>97</xdr:row>
          <xdr:rowOff>0</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1～1.8m未満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2000250</xdr:colOff>
          <xdr:row>96</xdr:row>
          <xdr:rowOff>0</xdr:rowOff>
        </xdr:from>
        <xdr:to>
          <xdr:col>4</xdr:col>
          <xdr:colOff>3314700</xdr:colOff>
          <xdr:row>96</xdr:row>
          <xdr:rowOff>171450</xdr:rowOff>
        </xdr:to>
        <xdr:sp macro="" textlink="">
          <xdr:nvSpPr>
            <xdr:cNvPr id="1069" name="Check Box 45" hidden="1">
              <a:extLst>
                <a:ext uri="{63B3BB69-23CF-44E3-9099-C40C66FF867C}">
                  <a14:compatExt spid="_x0000_s106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1.8m以上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68</xdr:row>
          <xdr:rowOff>31750</xdr:rowOff>
        </xdr:from>
        <xdr:to>
          <xdr:col>4</xdr:col>
          <xdr:colOff>1651000</xdr:colOff>
          <xdr:row>68</xdr:row>
          <xdr:rowOff>203200</xdr:rowOff>
        </xdr:to>
        <xdr:sp macro="" textlink="">
          <xdr:nvSpPr>
            <xdr:cNvPr id="1070" name="Check Box 46" hidden="1">
              <a:extLst>
                <a:ext uri="{63B3BB69-23CF-44E3-9099-C40C66FF867C}">
                  <a14:compatExt spid="_x0000_s107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2247900</xdr:colOff>
          <xdr:row>68</xdr:row>
          <xdr:rowOff>31750</xdr:rowOff>
        </xdr:from>
        <xdr:to>
          <xdr:col>4</xdr:col>
          <xdr:colOff>2933700</xdr:colOff>
          <xdr:row>68</xdr:row>
          <xdr:rowOff>203200</xdr:rowOff>
        </xdr:to>
        <xdr:sp macro="" textlink="">
          <xdr:nvSpPr>
            <xdr:cNvPr id="1071" name="Check Box 47" hidden="1">
              <a:extLst>
                <a:ext uri="{63B3BB69-23CF-44E3-9099-C40C66FF867C}">
                  <a14:compatExt spid="_x0000_s107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113</xdr:row>
          <xdr:rowOff>19050</xdr:rowOff>
        </xdr:from>
        <xdr:to>
          <xdr:col>23</xdr:col>
          <xdr:colOff>88900</xdr:colOff>
          <xdr:row>113</xdr:row>
          <xdr:rowOff>165100</xdr:rowOff>
        </xdr:to>
        <xdr:sp macro="" textlink="">
          <xdr:nvSpPr>
            <xdr:cNvPr id="1072" name="Check Box 48" hidden="1">
              <a:extLst>
                <a:ext uri="{63B3BB69-23CF-44E3-9099-C40C66FF867C}">
                  <a14:compatExt spid="_x0000_s107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午前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113</xdr:row>
          <xdr:rowOff>19050</xdr:rowOff>
        </xdr:from>
        <xdr:to>
          <xdr:col>27</xdr:col>
          <xdr:colOff>107950</xdr:colOff>
          <xdr:row>113</xdr:row>
          <xdr:rowOff>165100</xdr:rowOff>
        </xdr:to>
        <xdr:sp macro="" textlink="">
          <xdr:nvSpPr>
            <xdr:cNvPr id="1073" name="Check Box 49" hidden="1">
              <a:extLst>
                <a:ext uri="{63B3BB69-23CF-44E3-9099-C40C66FF867C}">
                  <a14:compatExt spid="_x0000_s107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午後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113</xdr:row>
          <xdr:rowOff>19050</xdr:rowOff>
        </xdr:from>
        <xdr:to>
          <xdr:col>4</xdr:col>
          <xdr:colOff>1689100</xdr:colOff>
          <xdr:row>113</xdr:row>
          <xdr:rowOff>165100</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午前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2247900</xdr:colOff>
          <xdr:row>113</xdr:row>
          <xdr:rowOff>19050</xdr:rowOff>
        </xdr:from>
        <xdr:to>
          <xdr:col>4</xdr:col>
          <xdr:colOff>2813050</xdr:colOff>
          <xdr:row>113</xdr:row>
          <xdr:rowOff>165100</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午後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100</xdr:row>
          <xdr:rowOff>203200</xdr:rowOff>
        </xdr:from>
        <xdr:to>
          <xdr:col>1</xdr:col>
          <xdr:colOff>1028700</xdr:colOff>
          <xdr:row>101</xdr:row>
          <xdr:rowOff>171450</xdr:rowOff>
        </xdr:to>
        <xdr:sp macro="" textlink="">
          <xdr:nvSpPr>
            <xdr:cNvPr id="1076" name="Check Box 52" hidden="1">
              <a:extLst>
                <a:ext uri="{63B3BB69-23CF-44E3-9099-C40C66FF867C}">
                  <a14:compatExt spid="_x0000_s107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100</xdr:row>
          <xdr:rowOff>203200</xdr:rowOff>
        </xdr:from>
        <xdr:to>
          <xdr:col>3</xdr:col>
          <xdr:colOff>355600</xdr:colOff>
          <xdr:row>101</xdr:row>
          <xdr:rowOff>171450</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屋内（収容箱含む）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102</xdr:row>
          <xdr:rowOff>19050</xdr:rowOff>
        </xdr:from>
        <xdr:to>
          <xdr:col>1</xdr:col>
          <xdr:colOff>1028700</xdr:colOff>
          <xdr:row>102</xdr:row>
          <xdr:rowOff>171450</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野立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102</xdr:row>
          <xdr:rowOff>19050</xdr:rowOff>
        </xdr:from>
        <xdr:to>
          <xdr:col>2</xdr:col>
          <xdr:colOff>1727200</xdr:colOff>
          <xdr:row>102</xdr:row>
          <xdr:rowOff>171450</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屋上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103</xdr:row>
          <xdr:rowOff>0</xdr:rowOff>
        </xdr:from>
        <xdr:to>
          <xdr:col>2</xdr:col>
          <xdr:colOff>742950</xdr:colOff>
          <xdr:row>103</xdr:row>
          <xdr:rowOff>171450</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0～0.5m未満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102</xdr:row>
          <xdr:rowOff>19050</xdr:rowOff>
        </xdr:from>
        <xdr:to>
          <xdr:col>4</xdr:col>
          <xdr:colOff>850900</xdr:colOff>
          <xdr:row>102</xdr:row>
          <xdr:rowOff>171450</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103</xdr:row>
          <xdr:rowOff>0</xdr:rowOff>
        </xdr:from>
        <xdr:to>
          <xdr:col>3</xdr:col>
          <xdr:colOff>495300</xdr:colOff>
          <xdr:row>103</xdr:row>
          <xdr:rowOff>171450</xdr:rowOff>
        </xdr:to>
        <xdr:sp macro="" textlink="">
          <xdr:nvSpPr>
            <xdr:cNvPr id="1082" name="Check Box 58" hidden="1">
              <a:extLst>
                <a:ext uri="{63B3BB69-23CF-44E3-9099-C40C66FF867C}">
                  <a14:compatExt spid="_x0000_s108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0.5～1m未満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927100</xdr:colOff>
          <xdr:row>102</xdr:row>
          <xdr:rowOff>203200</xdr:rowOff>
        </xdr:from>
        <xdr:to>
          <xdr:col>4</xdr:col>
          <xdr:colOff>1581150</xdr:colOff>
          <xdr:row>103</xdr:row>
          <xdr:rowOff>184150</xdr:rowOff>
        </xdr:to>
        <xdr:sp macro="" textlink="">
          <xdr:nvSpPr>
            <xdr:cNvPr id="1083" name="Check Box 59" hidden="1">
              <a:extLst>
                <a:ext uri="{63B3BB69-23CF-44E3-9099-C40C66FF867C}">
                  <a14:compatExt spid="_x0000_s108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1～1.8m未満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2000250</xdr:colOff>
          <xdr:row>103</xdr:row>
          <xdr:rowOff>0</xdr:rowOff>
        </xdr:from>
        <xdr:to>
          <xdr:col>4</xdr:col>
          <xdr:colOff>3314700</xdr:colOff>
          <xdr:row>103</xdr:row>
          <xdr:rowOff>171450</xdr:rowOff>
        </xdr:to>
        <xdr:sp macro="" textlink="">
          <xdr:nvSpPr>
            <xdr:cNvPr id="1084" name="Check Box 60" hidden="1">
              <a:extLst>
                <a:ext uri="{63B3BB69-23CF-44E3-9099-C40C66FF867C}">
                  <a14:compatExt spid="_x0000_s108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設置高 1.8m以上</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69850</xdr:colOff>
          <xdr:row>105</xdr:row>
          <xdr:rowOff>171450</xdr:rowOff>
        </xdr:from>
        <xdr:to>
          <xdr:col>27</xdr:col>
          <xdr:colOff>107950</xdr:colOff>
          <xdr:row>105</xdr:row>
          <xdr:rowOff>393700</xdr:rowOff>
        </xdr:to>
        <xdr:sp macro="" textlink="">
          <xdr:nvSpPr>
            <xdr:cNvPr id="4097" name="Check Box 1" hidden="1">
              <a:extLst>
                <a:ext uri="{63B3BB69-23CF-44E3-9099-C40C66FF867C}">
                  <a14:compatExt spid="_x0000_s409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注意事項／お願い事項に同意します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115</xdr:row>
          <xdr:rowOff>31750</xdr:rowOff>
        </xdr:from>
        <xdr:to>
          <xdr:col>23</xdr:col>
          <xdr:colOff>50800</xdr:colOff>
          <xdr:row>115</xdr:row>
          <xdr:rowOff>203200</xdr:rowOff>
        </xdr:to>
        <xdr:sp macro="" textlink="">
          <xdr:nvSpPr>
            <xdr:cNvPr id="4098" name="Check Box 2" hidden="1">
              <a:extLst>
                <a:ext uri="{63B3BB69-23CF-44E3-9099-C40C66FF867C}">
                  <a14:compatExt spid="_x0000_s409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115</xdr:row>
          <xdr:rowOff>31750</xdr:rowOff>
        </xdr:from>
        <xdr:to>
          <xdr:col>27</xdr:col>
          <xdr:colOff>228600</xdr:colOff>
          <xdr:row>115</xdr:row>
          <xdr:rowOff>203200</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203200</xdr:colOff>
          <xdr:row>129</xdr:row>
          <xdr:rowOff>190500</xdr:rowOff>
        </xdr:from>
        <xdr:to>
          <xdr:col>23</xdr:col>
          <xdr:colOff>127000</xdr:colOff>
          <xdr:row>131</xdr:row>
          <xdr:rowOff>12700</xdr:rowOff>
        </xdr:to>
        <xdr:sp macro="" textlink="">
          <xdr:nvSpPr>
            <xdr:cNvPr id="4104" name="Check Box 8" hidden="1">
              <a:extLst>
                <a:ext uri="{63B3BB69-23CF-44E3-9099-C40C66FF867C}">
                  <a14:compatExt spid="_x0000_s410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ﾁｪｯｸなし（送信しない）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129</xdr:row>
          <xdr:rowOff>203200</xdr:rowOff>
        </xdr:from>
        <xdr:to>
          <xdr:col>29</xdr:col>
          <xdr:colOff>165100</xdr:colOff>
          <xdr:row>131</xdr:row>
          <xdr:rowOff>0</xdr:rowOff>
        </xdr:to>
        <xdr:sp macro="" textlink="">
          <xdr:nvSpPr>
            <xdr:cNvPr id="4105" name="Check Box 9" hidden="1">
              <a:extLst>
                <a:ext uri="{63B3BB69-23CF-44E3-9099-C40C66FF867C}">
                  <a14:compatExt spid="_x0000_s410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ﾁｪｯｸあり（送信する）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134</xdr:row>
          <xdr:rowOff>31750</xdr:rowOff>
        </xdr:from>
        <xdr:to>
          <xdr:col>22</xdr:col>
          <xdr:colOff>146050</xdr:colOff>
          <xdr:row>134</xdr:row>
          <xdr:rowOff>184150</xdr:rowOff>
        </xdr:to>
        <xdr:sp macro="" textlink="">
          <xdr:nvSpPr>
            <xdr:cNvPr id="4106" name="Check Box 10" hidden="1">
              <a:extLst>
                <a:ext uri="{63B3BB69-23CF-44E3-9099-C40C66FF867C}">
                  <a14:compatExt spid="_x0000_s410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134</xdr:row>
          <xdr:rowOff>0</xdr:rowOff>
        </xdr:from>
        <xdr:to>
          <xdr:col>27</xdr:col>
          <xdr:colOff>152400</xdr:colOff>
          <xdr:row>135</xdr:row>
          <xdr:rowOff>12700</xdr:rowOff>
        </xdr:to>
        <xdr:sp macro="" textlink="">
          <xdr:nvSpPr>
            <xdr:cNvPr id="4107" name="Check Box 11" hidden="1">
              <a:extLst>
                <a:ext uri="{63B3BB69-23CF-44E3-9099-C40C66FF867C}">
                  <a14:compatExt spid="_x0000_s410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設定する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203200</xdr:colOff>
          <xdr:row>130</xdr:row>
          <xdr:rowOff>203200</xdr:rowOff>
        </xdr:from>
        <xdr:to>
          <xdr:col>23</xdr:col>
          <xdr:colOff>127000</xdr:colOff>
          <xdr:row>131</xdr:row>
          <xdr:rowOff>190500</xdr:rowOff>
        </xdr:to>
        <xdr:sp macro="" textlink="">
          <xdr:nvSpPr>
            <xdr:cNvPr id="4108" name="Check Box 12" hidden="1">
              <a:extLst>
                <a:ext uri="{63B3BB69-23CF-44E3-9099-C40C66FF867C}">
                  <a14:compatExt spid="_x0000_s410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ﾁｪｯｸなし（送信しない）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130</xdr:row>
          <xdr:rowOff>203200</xdr:rowOff>
        </xdr:from>
        <xdr:to>
          <xdr:col>29</xdr:col>
          <xdr:colOff>165100</xdr:colOff>
          <xdr:row>131</xdr:row>
          <xdr:rowOff>190500</xdr:rowOff>
        </xdr:to>
        <xdr:sp macro="" textlink="">
          <xdr:nvSpPr>
            <xdr:cNvPr id="4109" name="Check Box 13" hidden="1">
              <a:extLst>
                <a:ext uri="{63B3BB69-23CF-44E3-9099-C40C66FF867C}">
                  <a14:compatExt spid="_x0000_s410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ﾁｪｯｸあり（送信する）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203200</xdr:colOff>
          <xdr:row>131</xdr:row>
          <xdr:rowOff>190500</xdr:rowOff>
        </xdr:from>
        <xdr:to>
          <xdr:col>23</xdr:col>
          <xdr:colOff>127000</xdr:colOff>
          <xdr:row>132</xdr:row>
          <xdr:rowOff>190500</xdr:rowOff>
        </xdr:to>
        <xdr:sp macro="" textlink="">
          <xdr:nvSpPr>
            <xdr:cNvPr id="4110" name="Check Box 14" hidden="1">
              <a:extLst>
                <a:ext uri="{63B3BB69-23CF-44E3-9099-C40C66FF867C}">
                  <a14:compatExt spid="_x0000_s411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ﾁｪｯｸなし（送信しない）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131</xdr:row>
          <xdr:rowOff>190500</xdr:rowOff>
        </xdr:from>
        <xdr:to>
          <xdr:col>29</xdr:col>
          <xdr:colOff>165100</xdr:colOff>
          <xdr:row>132</xdr:row>
          <xdr:rowOff>190500</xdr:rowOff>
        </xdr:to>
        <xdr:sp macro="" textlink="">
          <xdr:nvSpPr>
            <xdr:cNvPr id="4111" name="Check Box 15" hidden="1">
              <a:extLst>
                <a:ext uri="{63B3BB69-23CF-44E3-9099-C40C66FF867C}">
                  <a14:compatExt spid="_x0000_s411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ﾁｪｯｸあり（送信する）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132</xdr:row>
          <xdr:rowOff>190500</xdr:rowOff>
        </xdr:from>
        <xdr:to>
          <xdr:col>29</xdr:col>
          <xdr:colOff>165100</xdr:colOff>
          <xdr:row>133</xdr:row>
          <xdr:rowOff>203200</xdr:rowOff>
        </xdr:to>
        <xdr:sp macro="" textlink="">
          <xdr:nvSpPr>
            <xdr:cNvPr id="4112" name="Check Box 16" hidden="1">
              <a:extLst>
                <a:ext uri="{63B3BB69-23CF-44E3-9099-C40C66FF867C}">
                  <a14:compatExt spid="_x0000_s411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ﾁｪｯｸあり（送信する）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203200</xdr:colOff>
          <xdr:row>132</xdr:row>
          <xdr:rowOff>184150</xdr:rowOff>
        </xdr:from>
        <xdr:to>
          <xdr:col>23</xdr:col>
          <xdr:colOff>127000</xdr:colOff>
          <xdr:row>134</xdr:row>
          <xdr:rowOff>0</xdr:rowOff>
        </xdr:to>
        <xdr:sp macro="" textlink="">
          <xdr:nvSpPr>
            <xdr:cNvPr id="4113" name="Check Box 17" hidden="1">
              <a:extLst>
                <a:ext uri="{63B3BB69-23CF-44E3-9099-C40C66FF867C}">
                  <a14:compatExt spid="_x0000_s411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ﾁｪｯｸなし（送信しない）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132</xdr:row>
          <xdr:rowOff>190500</xdr:rowOff>
        </xdr:from>
        <xdr:to>
          <xdr:col>29</xdr:col>
          <xdr:colOff>165100</xdr:colOff>
          <xdr:row>133</xdr:row>
          <xdr:rowOff>203200</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ﾁｪｯｸあり（送信する）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141</xdr:row>
          <xdr:rowOff>19050</xdr:rowOff>
        </xdr:from>
        <xdr:to>
          <xdr:col>23</xdr:col>
          <xdr:colOff>88900</xdr:colOff>
          <xdr:row>141</xdr:row>
          <xdr:rowOff>165100</xdr:rowOff>
        </xdr:to>
        <xdr:sp macro="" textlink="">
          <xdr:nvSpPr>
            <xdr:cNvPr id="4115" name="Check Box 19" hidden="1">
              <a:extLst>
                <a:ext uri="{63B3BB69-23CF-44E3-9099-C40C66FF867C}">
                  <a14:compatExt spid="_x0000_s411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午前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141</xdr:row>
          <xdr:rowOff>19050</xdr:rowOff>
        </xdr:from>
        <xdr:to>
          <xdr:col>27</xdr:col>
          <xdr:colOff>107950</xdr:colOff>
          <xdr:row>141</xdr:row>
          <xdr:rowOff>165100</xdr:rowOff>
        </xdr:to>
        <xdr:sp macro="" textlink="">
          <xdr:nvSpPr>
            <xdr:cNvPr id="4116" name="Check Box 20" hidden="1">
              <a:extLst>
                <a:ext uri="{63B3BB69-23CF-44E3-9099-C40C66FF867C}">
                  <a14:compatExt spid="_x0000_s411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午後</a:t>
              </a:r>
            </a:p>
          </xdr:txBody>
        </xdr:sp>
        <xdr:clientData/>
      </xdr:twoCellAnchor>
    </mc:Choice>
    <mc:Fallback/>
  </mc:AlternateContent>
  <xdr:twoCellAnchor>
    <xdr:from>
      <xdr:col>0</xdr:col>
      <xdr:colOff>44451</xdr:colOff>
      <xdr:row>46</xdr:row>
      <xdr:rowOff>165100</xdr:rowOff>
    </xdr:from>
    <xdr:to>
      <xdr:col>9</xdr:col>
      <xdr:colOff>200025</xdr:colOff>
      <xdr:row>49</xdr:row>
      <xdr:rowOff>152400</xdr:rowOff>
    </xdr:to>
    <xdr:sp macro="" textlink="">
      <xdr:nvSpPr>
        <xdr:cNvPr id="24" name="正方形/長方形 23"/>
        <xdr:cNvSpPr/>
      </xdr:nvSpPr>
      <xdr:spPr>
        <a:xfrm>
          <a:off x="44451" y="8413750"/>
          <a:ext cx="2641599" cy="5016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a:solidFill>
                <a:schemeClr val="tx1"/>
              </a:solidFill>
              <a:latin typeface="HGP創英角ｺﾞｼｯｸUB" pitchFamily="50" charset="-128"/>
              <a:ea typeface="HGP創英角ｺﾞｼｯｸUB" pitchFamily="50" charset="-128"/>
            </a:rPr>
            <a:t>遠隔初期設定サービス実施</a:t>
          </a:r>
        </a:p>
      </xdr:txBody>
    </xdr:sp>
    <xdr:clientData/>
  </xdr:twoCellAnchor>
  <xdr:oneCellAnchor>
    <xdr:from>
      <xdr:col>15</xdr:col>
      <xdr:colOff>276224</xdr:colOff>
      <xdr:row>1</xdr:row>
      <xdr:rowOff>6154</xdr:rowOff>
    </xdr:from>
    <xdr:ext cx="4143376" cy="559192"/>
    <xdr:sp macro="" textlink="">
      <xdr:nvSpPr>
        <xdr:cNvPr id="25" name="テキスト ボックス 24"/>
        <xdr:cNvSpPr txBox="1"/>
      </xdr:nvSpPr>
      <xdr:spPr>
        <a:xfrm>
          <a:off x="4419599" y="177604"/>
          <a:ext cx="4143376" cy="559192"/>
        </a:xfrm>
        <a:prstGeom prst="rect">
          <a:avLst/>
        </a:prstGeom>
        <a:solidFill>
          <a:schemeClr val="lt1"/>
        </a:solidFill>
        <a:ln w="3810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2800"/>
            <a:t>初めにお読みください。</a:t>
          </a:r>
        </a:p>
      </xdr:txBody>
    </xdr:sp>
    <xdr:clientData/>
  </xdr:oneCellAnchor>
  <xdr:twoCellAnchor>
    <xdr:from>
      <xdr:col>0</xdr:col>
      <xdr:colOff>66675</xdr:colOff>
      <xdr:row>12</xdr:row>
      <xdr:rowOff>0</xdr:rowOff>
    </xdr:from>
    <xdr:to>
      <xdr:col>9</xdr:col>
      <xdr:colOff>200025</xdr:colOff>
      <xdr:row>21</xdr:row>
      <xdr:rowOff>9525</xdr:rowOff>
    </xdr:to>
    <xdr:sp macro="" textlink="">
      <xdr:nvSpPr>
        <xdr:cNvPr id="26" name="下矢印吹き出し 25"/>
        <xdr:cNvSpPr/>
      </xdr:nvSpPr>
      <xdr:spPr>
        <a:xfrm>
          <a:off x="66675" y="2438400"/>
          <a:ext cx="2619375" cy="1552575"/>
        </a:xfrm>
        <a:prstGeom prst="downArrowCallout">
          <a:avLst>
            <a:gd name="adj1" fmla="val 22531"/>
            <a:gd name="adj2" fmla="val 22531"/>
            <a:gd name="adj3" fmla="val 21914"/>
            <a:gd name="adj4" fmla="val 6497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000"/>
            </a:lnSpc>
          </a:pPr>
          <a:r>
            <a:rPr kumimoji="1" lang="en-US" altLang="ja-JP" sz="1600"/>
            <a:t>STEP1</a:t>
          </a:r>
          <a:r>
            <a:rPr kumimoji="1" lang="ja-JP" altLang="en-US" sz="1600"/>
            <a:t>＞＞＞</a:t>
          </a:r>
          <a:endParaRPr kumimoji="1" lang="en-US" altLang="ja-JP" sz="1600"/>
        </a:p>
        <a:p>
          <a:pPr algn="ctr">
            <a:lnSpc>
              <a:spcPts val="1900"/>
            </a:lnSpc>
          </a:pPr>
          <a:r>
            <a:rPr kumimoji="1" lang="ja-JP" altLang="en-US" sz="1600">
              <a:latin typeface="HGP創英角ｺﾞｼｯｸUB" pitchFamily="50" charset="-128"/>
              <a:ea typeface="HGP創英角ｺﾞｼｯｸUB" pitchFamily="50" charset="-128"/>
            </a:rPr>
            <a:t>必要書類への記載・入力</a:t>
          </a:r>
        </a:p>
      </xdr:txBody>
    </xdr:sp>
    <xdr:clientData/>
  </xdr:twoCellAnchor>
  <xdr:twoCellAnchor>
    <xdr:from>
      <xdr:col>0</xdr:col>
      <xdr:colOff>85725</xdr:colOff>
      <xdr:row>21</xdr:row>
      <xdr:rowOff>9525</xdr:rowOff>
    </xdr:from>
    <xdr:to>
      <xdr:col>9</xdr:col>
      <xdr:colOff>200025</xdr:colOff>
      <xdr:row>30</xdr:row>
      <xdr:rowOff>9525</xdr:rowOff>
    </xdr:to>
    <xdr:sp macro="" textlink="">
      <xdr:nvSpPr>
        <xdr:cNvPr id="27" name="下矢印吹き出し 26"/>
        <xdr:cNvSpPr/>
      </xdr:nvSpPr>
      <xdr:spPr>
        <a:xfrm>
          <a:off x="85725" y="3971925"/>
          <a:ext cx="2600325" cy="1543050"/>
        </a:xfrm>
        <a:prstGeom prst="downArrowCallout">
          <a:avLst>
            <a:gd name="adj1" fmla="val 22531"/>
            <a:gd name="adj2" fmla="val 22531"/>
            <a:gd name="adj3" fmla="val 21914"/>
            <a:gd name="adj4" fmla="val 6497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000"/>
            </a:lnSpc>
          </a:pPr>
          <a:r>
            <a:rPr kumimoji="1" lang="en-US" altLang="ja-JP" sz="1600"/>
            <a:t>STEP2</a:t>
          </a:r>
          <a:r>
            <a:rPr kumimoji="1" lang="ja-JP" altLang="en-US" sz="1600"/>
            <a:t>＞＞＞</a:t>
          </a:r>
          <a:endParaRPr kumimoji="1" lang="en-US" altLang="ja-JP" sz="1600"/>
        </a:p>
        <a:p>
          <a:pPr algn="ctr">
            <a:lnSpc>
              <a:spcPts val="1900"/>
            </a:lnSpc>
          </a:pPr>
          <a:r>
            <a:rPr kumimoji="1" lang="ja-JP" altLang="en-US" sz="1600">
              <a:latin typeface="HGP創英角ｺﾞｼｯｸUB" pitchFamily="50" charset="-128"/>
              <a:ea typeface="HGP創英角ｺﾞｼｯｸUB" pitchFamily="50" charset="-128"/>
            </a:rPr>
            <a:t>必要書類の送付</a:t>
          </a:r>
        </a:p>
      </xdr:txBody>
    </xdr:sp>
    <xdr:clientData/>
  </xdr:twoCellAnchor>
  <xdr:twoCellAnchor>
    <xdr:from>
      <xdr:col>0</xdr:col>
      <xdr:colOff>85725</xdr:colOff>
      <xdr:row>30</xdr:row>
      <xdr:rowOff>9525</xdr:rowOff>
    </xdr:from>
    <xdr:to>
      <xdr:col>9</xdr:col>
      <xdr:colOff>200025</xdr:colOff>
      <xdr:row>38</xdr:row>
      <xdr:rowOff>9525</xdr:rowOff>
    </xdr:to>
    <xdr:sp macro="" textlink="">
      <xdr:nvSpPr>
        <xdr:cNvPr id="28" name="下矢印吹き出し 27"/>
        <xdr:cNvSpPr/>
      </xdr:nvSpPr>
      <xdr:spPr>
        <a:xfrm>
          <a:off x="85725" y="5514975"/>
          <a:ext cx="2600325" cy="1371600"/>
        </a:xfrm>
        <a:prstGeom prst="downArrowCallout">
          <a:avLst>
            <a:gd name="adj1" fmla="val 22531"/>
            <a:gd name="adj2" fmla="val 22531"/>
            <a:gd name="adj3" fmla="val 21914"/>
            <a:gd name="adj4" fmla="val 64977"/>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000"/>
            </a:lnSpc>
          </a:pPr>
          <a:r>
            <a:rPr kumimoji="1" lang="en-US" altLang="ja-JP" sz="1600"/>
            <a:t>STEP3</a:t>
          </a:r>
          <a:r>
            <a:rPr kumimoji="1" lang="ja-JP" altLang="en-US" sz="1600"/>
            <a:t>＞＞＞</a:t>
          </a:r>
          <a:endParaRPr kumimoji="1" lang="en-US" altLang="ja-JP" sz="1600"/>
        </a:p>
        <a:p>
          <a:pPr algn="ctr">
            <a:lnSpc>
              <a:spcPts val="1900"/>
            </a:lnSpc>
          </a:pPr>
          <a:r>
            <a:rPr kumimoji="1" lang="ja-JP" altLang="en-US" sz="1600">
              <a:latin typeface="HGP創英角ｺﾞｼｯｸUB" pitchFamily="50" charset="-128"/>
              <a:ea typeface="HGP創英角ｺﾞｼｯｸUB" pitchFamily="50" charset="-128"/>
            </a:rPr>
            <a:t>作業日の日程連絡</a:t>
          </a:r>
        </a:p>
      </xdr:txBody>
    </xdr:sp>
    <xdr:clientData/>
  </xdr:twoCellAnchor>
  <xdr:twoCellAnchor>
    <xdr:from>
      <xdr:col>0</xdr:col>
      <xdr:colOff>85725</xdr:colOff>
      <xdr:row>38</xdr:row>
      <xdr:rowOff>9525</xdr:rowOff>
    </xdr:from>
    <xdr:to>
      <xdr:col>9</xdr:col>
      <xdr:colOff>200025</xdr:colOff>
      <xdr:row>46</xdr:row>
      <xdr:rowOff>161925</xdr:rowOff>
    </xdr:to>
    <xdr:sp macro="" textlink="">
      <xdr:nvSpPr>
        <xdr:cNvPr id="29" name="下矢印吹き出し 28"/>
        <xdr:cNvSpPr/>
      </xdr:nvSpPr>
      <xdr:spPr>
        <a:xfrm>
          <a:off x="85725" y="6886575"/>
          <a:ext cx="2600325" cy="1524000"/>
        </a:xfrm>
        <a:prstGeom prst="downArrowCallout">
          <a:avLst>
            <a:gd name="adj1" fmla="val 22879"/>
            <a:gd name="adj2" fmla="val 23422"/>
            <a:gd name="adj3" fmla="val 21671"/>
            <a:gd name="adj4" fmla="val 6425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000"/>
            </a:lnSpc>
          </a:pPr>
          <a:r>
            <a:rPr kumimoji="1" lang="en-US" altLang="ja-JP" sz="1600"/>
            <a:t>STEP4</a:t>
          </a:r>
          <a:r>
            <a:rPr kumimoji="1" lang="ja-JP" altLang="en-US" sz="1600"/>
            <a:t>＞＞＞</a:t>
          </a:r>
          <a:endParaRPr kumimoji="1" lang="en-US" altLang="ja-JP" sz="1600"/>
        </a:p>
        <a:p>
          <a:pPr algn="ctr">
            <a:lnSpc>
              <a:spcPts val="1900"/>
            </a:lnSpc>
          </a:pPr>
          <a:r>
            <a:rPr kumimoji="1" lang="ja-JP" altLang="en-US" sz="1600">
              <a:latin typeface="HGP創英角ｺﾞｼｯｸUB" pitchFamily="50" charset="-128"/>
              <a:ea typeface="HGP創英角ｺﾞｼｯｸUB" pitchFamily="50" charset="-128"/>
            </a:rPr>
            <a:t>現地事前確認</a:t>
          </a:r>
        </a:p>
      </xdr:txBody>
    </xdr:sp>
    <xdr:clientData/>
  </xdr:twoCellAnchor>
  <xdr:twoCellAnchor>
    <xdr:from>
      <xdr:col>25</xdr:col>
      <xdr:colOff>189380</xdr:colOff>
      <xdr:row>13</xdr:row>
      <xdr:rowOff>9525</xdr:rowOff>
    </xdr:from>
    <xdr:to>
      <xdr:col>50</xdr:col>
      <xdr:colOff>1246655</xdr:colOff>
      <xdr:row>56</xdr:row>
      <xdr:rowOff>0</xdr:rowOff>
    </xdr:to>
    <xdr:pic>
      <xdr:nvPicPr>
        <xdr:cNvPr id="32" name="図 11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129"/>
        <a:stretch/>
      </xdr:blipFill>
      <xdr:spPr bwMode="auto">
        <a:xfrm>
          <a:off x="7193056" y="2575672"/>
          <a:ext cx="8060952" cy="7218269"/>
        </a:xfrm>
        <a:prstGeom prst="rect">
          <a:avLst/>
        </a:prstGeom>
        <a:noFill/>
        <a:ln w="9525">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50</xdr:col>
      <xdr:colOff>551330</xdr:colOff>
      <xdr:row>13</xdr:row>
      <xdr:rowOff>28574</xdr:rowOff>
    </xdr:from>
    <xdr:to>
      <xdr:col>50</xdr:col>
      <xdr:colOff>1237130</xdr:colOff>
      <xdr:row>14</xdr:row>
      <xdr:rowOff>133349</xdr:rowOff>
    </xdr:to>
    <xdr:sp macro="" textlink="">
      <xdr:nvSpPr>
        <xdr:cNvPr id="2" name="テキスト ボックス 1"/>
        <xdr:cNvSpPr txBox="1"/>
      </xdr:nvSpPr>
      <xdr:spPr>
        <a:xfrm>
          <a:off x="14558683" y="2594721"/>
          <a:ext cx="685800" cy="2728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146050</xdr:colOff>
          <xdr:row>117</xdr:row>
          <xdr:rowOff>50800</xdr:rowOff>
        </xdr:from>
        <xdr:to>
          <xdr:col>19</xdr:col>
          <xdr:colOff>152400</xdr:colOff>
          <xdr:row>117</xdr:row>
          <xdr:rowOff>222250</xdr:rowOff>
        </xdr:to>
        <xdr:sp macro="" textlink="">
          <xdr:nvSpPr>
            <xdr:cNvPr id="4127" name="Check Box 31" hidden="1">
              <a:extLst>
                <a:ext uri="{63B3BB69-23CF-44E3-9099-C40C66FF867C}">
                  <a14:compatExt spid="_x0000_s412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117</xdr:row>
          <xdr:rowOff>38100</xdr:rowOff>
        </xdr:from>
        <xdr:to>
          <xdr:col>23</xdr:col>
          <xdr:colOff>165100</xdr:colOff>
          <xdr:row>117</xdr:row>
          <xdr:rowOff>222250</xdr:rowOff>
        </xdr:to>
        <xdr:sp macro="" textlink="">
          <xdr:nvSpPr>
            <xdr:cNvPr id="4128" name="Check Box 32" hidden="1">
              <a:extLst>
                <a:ext uri="{63B3BB69-23CF-44E3-9099-C40C66FF867C}">
                  <a14:compatExt spid="_x0000_s412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九州電力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117</xdr:row>
          <xdr:rowOff>38100</xdr:rowOff>
        </xdr:from>
        <xdr:to>
          <xdr:col>27</xdr:col>
          <xdr:colOff>184150</xdr:colOff>
          <xdr:row>117</xdr:row>
          <xdr:rowOff>222250</xdr:rowOff>
        </xdr:to>
        <xdr:sp macro="" textlink="">
          <xdr:nvSpPr>
            <xdr:cNvPr id="4129" name="Check Box 33" hidden="1">
              <a:extLst>
                <a:ext uri="{63B3BB69-23CF-44E3-9099-C40C66FF867C}">
                  <a14:compatExt spid="_x0000_s412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四国電力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117</xdr:row>
          <xdr:rowOff>298450</xdr:rowOff>
        </xdr:from>
        <xdr:to>
          <xdr:col>23</xdr:col>
          <xdr:colOff>184150</xdr:colOff>
          <xdr:row>117</xdr:row>
          <xdr:rowOff>488950</xdr:rowOff>
        </xdr:to>
        <xdr:sp macro="" textlink="">
          <xdr:nvSpPr>
            <xdr:cNvPr id="4130" name="Check Box 34" hidden="1">
              <a:extLst>
                <a:ext uri="{63B3BB69-23CF-44E3-9099-C40C66FF867C}">
                  <a14:compatExt spid="_x0000_s413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沖縄電力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117</xdr:row>
          <xdr:rowOff>298450</xdr:rowOff>
        </xdr:from>
        <xdr:to>
          <xdr:col>25</xdr:col>
          <xdr:colOff>57150</xdr:colOff>
          <xdr:row>117</xdr:row>
          <xdr:rowOff>495300</xdr:rowOff>
        </xdr:to>
        <xdr:sp macro="" textlink="">
          <xdr:nvSpPr>
            <xdr:cNvPr id="4131" name="Check Box 35" hidden="1">
              <a:extLst>
                <a:ext uri="{63B3BB69-23CF-44E3-9099-C40C66FF867C}">
                  <a14:compatExt spid="_x0000_s413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sample5@shindengen.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49.xml"/><Relationship Id="rId18" Type="http://schemas.openxmlformats.org/officeDocument/2006/relationships/ctrlProp" Target="../ctrlProps/ctrlProp54.xml"/><Relationship Id="rId26" Type="http://schemas.openxmlformats.org/officeDocument/2006/relationships/ctrlProp" Target="../ctrlProps/ctrlProp62.xml"/><Relationship Id="rId39" Type="http://schemas.openxmlformats.org/officeDocument/2006/relationships/ctrlProp" Target="../ctrlProps/ctrlProp75.xml"/><Relationship Id="rId21" Type="http://schemas.openxmlformats.org/officeDocument/2006/relationships/ctrlProp" Target="../ctrlProps/ctrlProp57.xml"/><Relationship Id="rId34" Type="http://schemas.openxmlformats.org/officeDocument/2006/relationships/ctrlProp" Target="../ctrlProps/ctrlProp70.xml"/><Relationship Id="rId42" Type="http://schemas.openxmlformats.org/officeDocument/2006/relationships/ctrlProp" Target="../ctrlProps/ctrlProp78.xml"/><Relationship Id="rId47" Type="http://schemas.openxmlformats.org/officeDocument/2006/relationships/ctrlProp" Target="../ctrlProps/ctrlProp83.xml"/><Relationship Id="rId50" Type="http://schemas.openxmlformats.org/officeDocument/2006/relationships/ctrlProp" Target="../ctrlProps/ctrlProp86.xml"/><Relationship Id="rId55" Type="http://schemas.openxmlformats.org/officeDocument/2006/relationships/ctrlProp" Target="../ctrlProps/ctrlProp91.xml"/><Relationship Id="rId63" Type="http://schemas.openxmlformats.org/officeDocument/2006/relationships/ctrlProp" Target="../ctrlProps/ctrlProp99.xml"/><Relationship Id="rId7" Type="http://schemas.openxmlformats.org/officeDocument/2006/relationships/ctrlProp" Target="../ctrlProps/ctrlProp43.xml"/><Relationship Id="rId2" Type="http://schemas.openxmlformats.org/officeDocument/2006/relationships/drawing" Target="../drawings/drawing4.xml"/><Relationship Id="rId16" Type="http://schemas.openxmlformats.org/officeDocument/2006/relationships/ctrlProp" Target="../ctrlProps/ctrlProp52.xml"/><Relationship Id="rId20" Type="http://schemas.openxmlformats.org/officeDocument/2006/relationships/ctrlProp" Target="../ctrlProps/ctrlProp56.xml"/><Relationship Id="rId29" Type="http://schemas.openxmlformats.org/officeDocument/2006/relationships/ctrlProp" Target="../ctrlProps/ctrlProp65.xml"/><Relationship Id="rId41" Type="http://schemas.openxmlformats.org/officeDocument/2006/relationships/ctrlProp" Target="../ctrlProps/ctrlProp77.xml"/><Relationship Id="rId54" Type="http://schemas.openxmlformats.org/officeDocument/2006/relationships/ctrlProp" Target="../ctrlProps/ctrlProp90.xml"/><Relationship Id="rId62" Type="http://schemas.openxmlformats.org/officeDocument/2006/relationships/ctrlProp" Target="../ctrlProps/ctrlProp98.xml"/><Relationship Id="rId1" Type="http://schemas.openxmlformats.org/officeDocument/2006/relationships/printerSettings" Target="../printerSettings/printerSettings6.bin"/><Relationship Id="rId6" Type="http://schemas.openxmlformats.org/officeDocument/2006/relationships/ctrlProp" Target="../ctrlProps/ctrlProp42.xml"/><Relationship Id="rId11" Type="http://schemas.openxmlformats.org/officeDocument/2006/relationships/ctrlProp" Target="../ctrlProps/ctrlProp47.xml"/><Relationship Id="rId24" Type="http://schemas.openxmlformats.org/officeDocument/2006/relationships/ctrlProp" Target="../ctrlProps/ctrlProp60.xml"/><Relationship Id="rId32" Type="http://schemas.openxmlformats.org/officeDocument/2006/relationships/ctrlProp" Target="../ctrlProps/ctrlProp68.xml"/><Relationship Id="rId37" Type="http://schemas.openxmlformats.org/officeDocument/2006/relationships/ctrlProp" Target="../ctrlProps/ctrlProp73.xml"/><Relationship Id="rId40" Type="http://schemas.openxmlformats.org/officeDocument/2006/relationships/ctrlProp" Target="../ctrlProps/ctrlProp76.xml"/><Relationship Id="rId45" Type="http://schemas.openxmlformats.org/officeDocument/2006/relationships/ctrlProp" Target="../ctrlProps/ctrlProp81.xml"/><Relationship Id="rId53" Type="http://schemas.openxmlformats.org/officeDocument/2006/relationships/ctrlProp" Target="../ctrlProps/ctrlProp89.xml"/><Relationship Id="rId58" Type="http://schemas.openxmlformats.org/officeDocument/2006/relationships/ctrlProp" Target="../ctrlProps/ctrlProp94.xml"/><Relationship Id="rId5" Type="http://schemas.openxmlformats.org/officeDocument/2006/relationships/ctrlProp" Target="../ctrlProps/ctrlProp41.xml"/><Relationship Id="rId15" Type="http://schemas.openxmlformats.org/officeDocument/2006/relationships/ctrlProp" Target="../ctrlProps/ctrlProp51.xml"/><Relationship Id="rId23" Type="http://schemas.openxmlformats.org/officeDocument/2006/relationships/ctrlProp" Target="../ctrlProps/ctrlProp59.xml"/><Relationship Id="rId28" Type="http://schemas.openxmlformats.org/officeDocument/2006/relationships/ctrlProp" Target="../ctrlProps/ctrlProp64.xml"/><Relationship Id="rId36" Type="http://schemas.openxmlformats.org/officeDocument/2006/relationships/ctrlProp" Target="../ctrlProps/ctrlProp72.xml"/><Relationship Id="rId49" Type="http://schemas.openxmlformats.org/officeDocument/2006/relationships/ctrlProp" Target="../ctrlProps/ctrlProp85.xml"/><Relationship Id="rId57" Type="http://schemas.openxmlformats.org/officeDocument/2006/relationships/ctrlProp" Target="../ctrlProps/ctrlProp93.xml"/><Relationship Id="rId61" Type="http://schemas.openxmlformats.org/officeDocument/2006/relationships/ctrlProp" Target="../ctrlProps/ctrlProp97.xml"/><Relationship Id="rId10" Type="http://schemas.openxmlformats.org/officeDocument/2006/relationships/ctrlProp" Target="../ctrlProps/ctrlProp46.xml"/><Relationship Id="rId19" Type="http://schemas.openxmlformats.org/officeDocument/2006/relationships/ctrlProp" Target="../ctrlProps/ctrlProp55.xml"/><Relationship Id="rId31" Type="http://schemas.openxmlformats.org/officeDocument/2006/relationships/ctrlProp" Target="../ctrlProps/ctrlProp67.xml"/><Relationship Id="rId44" Type="http://schemas.openxmlformats.org/officeDocument/2006/relationships/ctrlProp" Target="../ctrlProps/ctrlProp80.xml"/><Relationship Id="rId52" Type="http://schemas.openxmlformats.org/officeDocument/2006/relationships/ctrlProp" Target="../ctrlProps/ctrlProp88.xml"/><Relationship Id="rId60" Type="http://schemas.openxmlformats.org/officeDocument/2006/relationships/ctrlProp" Target="../ctrlProps/ctrlProp96.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 Id="rId22" Type="http://schemas.openxmlformats.org/officeDocument/2006/relationships/ctrlProp" Target="../ctrlProps/ctrlProp58.xml"/><Relationship Id="rId27" Type="http://schemas.openxmlformats.org/officeDocument/2006/relationships/ctrlProp" Target="../ctrlProps/ctrlProp63.xml"/><Relationship Id="rId30" Type="http://schemas.openxmlformats.org/officeDocument/2006/relationships/ctrlProp" Target="../ctrlProps/ctrlProp66.xml"/><Relationship Id="rId35" Type="http://schemas.openxmlformats.org/officeDocument/2006/relationships/ctrlProp" Target="../ctrlProps/ctrlProp71.xml"/><Relationship Id="rId43" Type="http://schemas.openxmlformats.org/officeDocument/2006/relationships/ctrlProp" Target="../ctrlProps/ctrlProp79.xml"/><Relationship Id="rId48" Type="http://schemas.openxmlformats.org/officeDocument/2006/relationships/ctrlProp" Target="../ctrlProps/ctrlProp84.xml"/><Relationship Id="rId56" Type="http://schemas.openxmlformats.org/officeDocument/2006/relationships/ctrlProp" Target="../ctrlProps/ctrlProp92.xml"/><Relationship Id="rId8" Type="http://schemas.openxmlformats.org/officeDocument/2006/relationships/ctrlProp" Target="../ctrlProps/ctrlProp44.xml"/><Relationship Id="rId51" Type="http://schemas.openxmlformats.org/officeDocument/2006/relationships/ctrlProp" Target="../ctrlProps/ctrlProp87.xml"/><Relationship Id="rId3" Type="http://schemas.openxmlformats.org/officeDocument/2006/relationships/vmlDrawing" Target="../drawings/vmlDrawing2.vml"/><Relationship Id="rId12" Type="http://schemas.openxmlformats.org/officeDocument/2006/relationships/ctrlProp" Target="../ctrlProps/ctrlProp48.xml"/><Relationship Id="rId17" Type="http://schemas.openxmlformats.org/officeDocument/2006/relationships/ctrlProp" Target="../ctrlProps/ctrlProp53.xml"/><Relationship Id="rId25" Type="http://schemas.openxmlformats.org/officeDocument/2006/relationships/ctrlProp" Target="../ctrlProps/ctrlProp61.xml"/><Relationship Id="rId33" Type="http://schemas.openxmlformats.org/officeDocument/2006/relationships/ctrlProp" Target="../ctrlProps/ctrlProp69.xml"/><Relationship Id="rId38" Type="http://schemas.openxmlformats.org/officeDocument/2006/relationships/ctrlProp" Target="../ctrlProps/ctrlProp74.xml"/><Relationship Id="rId46" Type="http://schemas.openxmlformats.org/officeDocument/2006/relationships/ctrlProp" Target="../ctrlProps/ctrlProp82.xml"/><Relationship Id="rId59" Type="http://schemas.openxmlformats.org/officeDocument/2006/relationships/ctrlProp" Target="../ctrlProps/ctrlProp9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trlProp" Target="../ctrlProps/ctrlProp109.xml"/><Relationship Id="rId18" Type="http://schemas.openxmlformats.org/officeDocument/2006/relationships/ctrlProp" Target="../ctrlProps/ctrlProp114.xml"/><Relationship Id="rId3" Type="http://schemas.openxmlformats.org/officeDocument/2006/relationships/vmlDrawing" Target="../drawings/vmlDrawing3.vml"/><Relationship Id="rId21" Type="http://schemas.openxmlformats.org/officeDocument/2006/relationships/ctrlProp" Target="../ctrlProps/ctrlProp117.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 Type="http://schemas.openxmlformats.org/officeDocument/2006/relationships/drawing" Target="../drawings/drawing5.xml"/><Relationship Id="rId16" Type="http://schemas.openxmlformats.org/officeDocument/2006/relationships/ctrlProp" Target="../ctrlProps/ctrlProp112.xml"/><Relationship Id="rId20" Type="http://schemas.openxmlformats.org/officeDocument/2006/relationships/ctrlProp" Target="../ctrlProps/ctrlProp116.xml"/><Relationship Id="rId1" Type="http://schemas.openxmlformats.org/officeDocument/2006/relationships/printerSettings" Target="../printerSettings/printerSettings7.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10" Type="http://schemas.openxmlformats.org/officeDocument/2006/relationships/ctrlProp" Target="../ctrlProps/ctrlProp106.xml"/><Relationship Id="rId19" Type="http://schemas.openxmlformats.org/officeDocument/2006/relationships/ctrlProp" Target="../ctrlProps/ctrlProp115.xml"/><Relationship Id="rId4" Type="http://schemas.openxmlformats.org/officeDocument/2006/relationships/ctrlProp" Target="../ctrlProps/ctrlProp100.x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X336"/>
  <sheetViews>
    <sheetView tabSelected="1" view="pageBreakPreview" zoomScaleNormal="100" zoomScaleSheetLayoutView="100" workbookViewId="0">
      <selection activeCell="C14" sqref="C14:H14"/>
    </sheetView>
  </sheetViews>
  <sheetFormatPr defaultColWidth="9" defaultRowHeight="13"/>
  <cols>
    <col min="1" max="1" width="6.6328125" style="43" customWidth="1"/>
    <col min="2" max="2" width="49.6328125" style="170" customWidth="1"/>
    <col min="3" max="3" width="8.6328125" style="48" customWidth="1"/>
    <col min="4" max="4" width="6.6328125" style="48" customWidth="1"/>
    <col min="5" max="5" width="8.6328125" style="48" customWidth="1"/>
    <col min="6" max="6" width="6.6328125" style="48" customWidth="1"/>
    <col min="7" max="7" width="8.6328125" style="48" customWidth="1"/>
    <col min="8" max="8" width="6.6328125" style="48" customWidth="1"/>
    <col min="9" max="9" width="4.6328125" style="228" customWidth="1"/>
    <col min="10" max="10" width="4.08984375" style="218" customWidth="1"/>
    <col min="11" max="11" width="41.90625" style="3" customWidth="1"/>
    <col min="12" max="12" width="2.6328125" style="3" customWidth="1"/>
    <col min="13" max="13" width="86.08984375" style="3" customWidth="1"/>
    <col min="14" max="16384" width="9" style="3"/>
  </cols>
  <sheetData>
    <row r="1" spans="1:23">
      <c r="A1" s="43" t="s">
        <v>0</v>
      </c>
      <c r="C1" s="44"/>
      <c r="D1" s="44"/>
      <c r="E1" s="44"/>
      <c r="F1" s="44"/>
      <c r="G1" s="44"/>
      <c r="H1" s="44"/>
      <c r="K1" s="149" t="s">
        <v>1050</v>
      </c>
    </row>
    <row r="2" spans="1:23" s="45" customFormat="1" ht="27" customHeight="1">
      <c r="A2" s="396" t="s">
        <v>758</v>
      </c>
      <c r="B2" s="397"/>
      <c r="C2" s="397"/>
      <c r="D2" s="397"/>
      <c r="E2" s="397"/>
      <c r="F2" s="397"/>
      <c r="G2" s="397"/>
      <c r="H2" s="398"/>
      <c r="I2" s="229"/>
      <c r="J2" s="90"/>
      <c r="K2" s="273" t="s">
        <v>414</v>
      </c>
      <c r="M2" s="3"/>
      <c r="N2" s="3"/>
      <c r="O2" s="3"/>
      <c r="P2" s="3"/>
      <c r="Q2" s="3"/>
      <c r="R2" s="3"/>
      <c r="S2" s="3"/>
      <c r="T2" s="3"/>
      <c r="U2" s="3"/>
      <c r="V2" s="3"/>
      <c r="W2" s="3"/>
    </row>
    <row r="3" spans="1:23">
      <c r="A3" s="170"/>
      <c r="C3" s="44"/>
      <c r="D3" s="44"/>
      <c r="E3" s="44"/>
      <c r="F3" s="44"/>
      <c r="G3" s="44"/>
      <c r="H3" s="44"/>
      <c r="K3" s="273"/>
    </row>
    <row r="4" spans="1:23">
      <c r="A4" s="166" t="s">
        <v>783</v>
      </c>
      <c r="C4" s="44"/>
      <c r="D4" s="44"/>
      <c r="E4" s="44"/>
      <c r="F4" s="44"/>
      <c r="G4" s="44"/>
      <c r="H4" s="44"/>
      <c r="K4" s="273"/>
    </row>
    <row r="5" spans="1:23" ht="14">
      <c r="A5" s="109" t="s">
        <v>776</v>
      </c>
      <c r="C5" s="44"/>
      <c r="D5" s="44"/>
      <c r="E5" s="44"/>
      <c r="F5" s="44"/>
      <c r="G5" s="44"/>
      <c r="H5" s="44"/>
      <c r="K5" s="273"/>
      <c r="M5" s="46" t="s">
        <v>434</v>
      </c>
    </row>
    <row r="6" spans="1:23" ht="14">
      <c r="A6" s="416" t="s">
        <v>822</v>
      </c>
      <c r="B6" s="416"/>
      <c r="C6" s="416"/>
      <c r="D6" s="416"/>
      <c r="E6" s="416"/>
      <c r="F6" s="416"/>
      <c r="G6" s="416"/>
      <c r="H6" s="416"/>
      <c r="I6" s="416"/>
      <c r="J6" s="416"/>
      <c r="K6" s="416"/>
      <c r="N6" s="47"/>
      <c r="O6" s="47"/>
      <c r="P6" s="47"/>
      <c r="Q6" s="47"/>
      <c r="R6" s="47"/>
      <c r="S6" s="47"/>
      <c r="T6" s="47"/>
      <c r="U6" s="47"/>
      <c r="V6" s="47"/>
      <c r="W6" s="47"/>
    </row>
    <row r="7" spans="1:23" ht="14.5" thickBot="1">
      <c r="C7" s="44"/>
      <c r="D7" s="44"/>
      <c r="E7" s="44"/>
      <c r="F7" s="44"/>
      <c r="G7" s="44"/>
      <c r="H7" s="44"/>
      <c r="N7" s="47"/>
      <c r="O7" s="47"/>
      <c r="P7" s="47"/>
      <c r="Q7" s="47"/>
      <c r="R7" s="47"/>
      <c r="S7" s="47"/>
      <c r="T7" s="47"/>
      <c r="U7" s="47"/>
      <c r="V7" s="47"/>
      <c r="W7" s="47"/>
    </row>
    <row r="8" spans="1:23" ht="14.5" thickBot="1">
      <c r="C8" s="445"/>
      <c r="D8" s="446"/>
      <c r="E8" s="446"/>
      <c r="F8" s="446"/>
      <c r="G8" s="446"/>
      <c r="H8" s="447"/>
      <c r="I8" s="214" t="s">
        <v>519</v>
      </c>
      <c r="N8" s="47"/>
      <c r="O8" s="47"/>
      <c r="P8" s="47"/>
      <c r="Q8" s="47"/>
      <c r="R8" s="47"/>
      <c r="S8" s="47"/>
      <c r="T8" s="47"/>
      <c r="U8" s="47"/>
      <c r="V8" s="47"/>
      <c r="W8" s="47"/>
    </row>
    <row r="9" spans="1:23" ht="14.5" thickBot="1">
      <c r="C9" s="448"/>
      <c r="D9" s="449"/>
      <c r="E9" s="449"/>
      <c r="F9" s="449"/>
      <c r="G9" s="449"/>
      <c r="H9" s="450"/>
      <c r="I9" s="251" t="s">
        <v>943</v>
      </c>
      <c r="N9" s="47"/>
      <c r="O9" s="47"/>
      <c r="P9" s="47"/>
      <c r="Q9" s="47"/>
      <c r="R9" s="47"/>
      <c r="S9" s="47"/>
      <c r="T9" s="47"/>
      <c r="U9" s="47"/>
      <c r="V9" s="47"/>
      <c r="W9" s="47"/>
    </row>
    <row r="10" spans="1:23" ht="14.5" thickBot="1">
      <c r="C10" s="451"/>
      <c r="D10" s="452"/>
      <c r="E10" s="452"/>
      <c r="F10" s="452"/>
      <c r="G10" s="452"/>
      <c r="H10" s="453"/>
      <c r="I10" s="227" t="s">
        <v>882</v>
      </c>
      <c r="N10" s="47"/>
      <c r="O10" s="47"/>
      <c r="P10" s="47"/>
      <c r="Q10" s="47"/>
      <c r="R10" s="47"/>
      <c r="S10" s="47"/>
      <c r="T10" s="47"/>
      <c r="U10" s="47"/>
      <c r="V10" s="47"/>
      <c r="W10" s="47"/>
    </row>
    <row r="11" spans="1:23" ht="20.149999999999999" customHeight="1">
      <c r="C11" s="281"/>
      <c r="D11" s="281"/>
      <c r="E11" s="281"/>
      <c r="F11" s="281"/>
      <c r="G11" s="195"/>
      <c r="H11" s="195"/>
      <c r="I11" s="230"/>
    </row>
    <row r="12" spans="1:23" s="47" customFormat="1" ht="30" customHeight="1">
      <c r="A12" s="107" t="s">
        <v>153</v>
      </c>
      <c r="B12" s="76" t="s">
        <v>405</v>
      </c>
      <c r="C12" s="399" t="s">
        <v>406</v>
      </c>
      <c r="D12" s="400"/>
      <c r="E12" s="400"/>
      <c r="F12" s="400"/>
      <c r="G12" s="400"/>
      <c r="H12" s="401"/>
      <c r="I12" s="300" t="s">
        <v>541</v>
      </c>
      <c r="J12" s="301"/>
      <c r="K12" s="77" t="s">
        <v>540</v>
      </c>
      <c r="M12" s="3"/>
      <c r="N12" s="3"/>
      <c r="O12" s="3"/>
      <c r="P12" s="3"/>
      <c r="Q12" s="3"/>
      <c r="R12" s="3"/>
      <c r="S12" s="3"/>
      <c r="T12" s="3"/>
      <c r="U12" s="3"/>
      <c r="V12" s="3"/>
      <c r="W12" s="3"/>
    </row>
    <row r="13" spans="1:23" ht="53.25" customHeight="1" thickBot="1">
      <c r="A13" s="380" t="s">
        <v>870</v>
      </c>
      <c r="B13" s="381"/>
      <c r="C13" s="381"/>
      <c r="D13" s="381"/>
      <c r="E13" s="381"/>
      <c r="F13" s="381"/>
      <c r="G13" s="381"/>
      <c r="H13" s="381"/>
      <c r="I13" s="381"/>
      <c r="J13" s="381"/>
      <c r="K13" s="382"/>
    </row>
    <row r="14" spans="1:23" ht="13.5" thickBot="1">
      <c r="A14" s="49" t="s">
        <v>159</v>
      </c>
      <c r="B14" s="50" t="s">
        <v>1</v>
      </c>
      <c r="C14" s="402"/>
      <c r="D14" s="403"/>
      <c r="E14" s="403"/>
      <c r="F14" s="403"/>
      <c r="G14" s="403"/>
      <c r="H14" s="404"/>
      <c r="I14" s="231" t="s">
        <v>876</v>
      </c>
      <c r="J14" s="91" t="str">
        <f>IF(データ抽出!F14="","",データ抽出!F14)</f>
        <v/>
      </c>
      <c r="K14" s="51" t="s">
        <v>871</v>
      </c>
    </row>
    <row r="15" spans="1:23" ht="13.5" thickBot="1">
      <c r="A15" s="52" t="s">
        <v>160</v>
      </c>
      <c r="B15" s="53" t="s">
        <v>2</v>
      </c>
      <c r="C15" s="405" t="s">
        <v>480</v>
      </c>
      <c r="D15" s="405"/>
      <c r="E15" s="406"/>
      <c r="F15" s="345"/>
      <c r="G15" s="346"/>
      <c r="H15" s="347"/>
      <c r="I15" s="232" t="s">
        <v>876</v>
      </c>
      <c r="J15" s="92" t="str">
        <f>IF(データ抽出!F15="","",データ抽出!F15)</f>
        <v/>
      </c>
      <c r="K15" s="54" t="s">
        <v>778</v>
      </c>
      <c r="M15" s="55"/>
    </row>
    <row r="16" spans="1:23" ht="30" customHeight="1">
      <c r="A16" s="52" t="s">
        <v>482</v>
      </c>
      <c r="B16" s="53" t="s">
        <v>815</v>
      </c>
      <c r="C16" s="407"/>
      <c r="D16" s="408"/>
      <c r="E16" s="408"/>
      <c r="F16" s="408"/>
      <c r="G16" s="408"/>
      <c r="H16" s="409"/>
      <c r="I16" s="233" t="s">
        <v>876</v>
      </c>
      <c r="J16" s="92" t="str">
        <f>IF(データ抽出!F16="","",データ抽出!F16)</f>
        <v/>
      </c>
      <c r="K16" s="56" t="s">
        <v>527</v>
      </c>
    </row>
    <row r="17" spans="1:13" ht="39">
      <c r="A17" s="196" t="str">
        <f>IF(C16="","1-4",IF(LEFT(C16,8)="クラウド区画分譲","1-4",""))</f>
        <v>1-4</v>
      </c>
      <c r="B17" s="169" t="str">
        <f>IF(C16="","1-3項が「クラウド区画分譲オプションサービス」　※１
（Liteタイプ、20年アフターパック含む）の場合の、
統合先出力制御ユニット・監視装置　製造番号",IF(LEFT(C16,8)="クラウド区画分譲","1-3項が「クラウド区画分譲オプションサービス」　※１
（Liteタイプ、20年アフターパック含む）の場合の、
統合先出力制御ユニット・監視装置　製造番号",""))</f>
        <v>1-3項が「クラウド区画分譲オプションサービス」　※１
（Liteタイプ、20年アフターパック含む）の場合の、
統合先出力制御ユニット・監視装置　製造番号</v>
      </c>
      <c r="C17" s="282"/>
      <c r="D17" s="283"/>
      <c r="E17" s="283"/>
      <c r="F17" s="283"/>
      <c r="G17" s="283"/>
      <c r="H17" s="284"/>
      <c r="I17" s="233" t="str">
        <f>データ抽出!E17</f>
        <v/>
      </c>
      <c r="J17" s="92" t="str">
        <f>IF(データ抽出!F17="","",データ抽出!F17)</f>
        <v/>
      </c>
      <c r="K17" s="68" t="str">
        <f>IF(C16="","例）PA-S-000002　（半角英数字）",IF(LEFT(C16,8)="クラウド区画分譲","例）PA-S-000002　（半角英数字）",""))</f>
        <v>例）PA-S-000002　（半角英数字）</v>
      </c>
      <c r="M17" s="55"/>
    </row>
    <row r="18" spans="1:13" ht="15" customHeight="1" thickBot="1">
      <c r="A18" s="57" t="s">
        <v>436</v>
      </c>
      <c r="B18" s="66" t="s">
        <v>486</v>
      </c>
      <c r="C18" s="410"/>
      <c r="D18" s="411"/>
      <c r="E18" s="411"/>
      <c r="F18" s="411"/>
      <c r="G18" s="411"/>
      <c r="H18" s="412"/>
      <c r="I18" s="234" t="s">
        <v>876</v>
      </c>
      <c r="J18" s="103"/>
      <c r="K18" s="78" t="s">
        <v>527</v>
      </c>
    </row>
    <row r="19" spans="1:13" ht="120" customHeight="1">
      <c r="A19" s="108" t="s">
        <v>438</v>
      </c>
      <c r="B19" s="274" t="s">
        <v>890</v>
      </c>
      <c r="C19" s="275"/>
      <c r="D19" s="275"/>
      <c r="E19" s="275"/>
      <c r="F19" s="275"/>
      <c r="G19" s="275"/>
      <c r="H19" s="275"/>
      <c r="I19" s="276"/>
      <c r="J19" s="276"/>
      <c r="K19" s="277"/>
    </row>
    <row r="20" spans="1:13" ht="51" customHeight="1" thickBot="1">
      <c r="A20" s="305" t="s">
        <v>942</v>
      </c>
      <c r="B20" s="332"/>
      <c r="C20" s="332"/>
      <c r="D20" s="332"/>
      <c r="E20" s="332"/>
      <c r="F20" s="332"/>
      <c r="G20" s="332"/>
      <c r="H20" s="332"/>
      <c r="I20" s="332"/>
      <c r="J20" s="332"/>
      <c r="K20" s="335"/>
    </row>
    <row r="21" spans="1:13">
      <c r="A21" s="252" t="str">
        <f>IF(C18="","2-1",IF(C18="SIMカード方式","2-1",""))</f>
        <v>2-1</v>
      </c>
      <c r="B21" s="50" t="str">
        <f>IF(C18="","通信用SIMカード　お届け希望日　※２",IF(C18="SIMカード方式","通信用SIMカード　お届け希望日　※２",""))</f>
        <v>通信用SIMカード　お届け希望日　※２</v>
      </c>
      <c r="C21" s="413"/>
      <c r="D21" s="414"/>
      <c r="E21" s="414"/>
      <c r="F21" s="414"/>
      <c r="G21" s="414"/>
      <c r="H21" s="415"/>
      <c r="I21" s="235" t="str">
        <f>IF(データ抽出!E21="","",データ抽出!E21)</f>
        <v/>
      </c>
      <c r="J21" s="94" t="str">
        <f>IF(データ抽出!F21="","",データ抽出!F21)</f>
        <v/>
      </c>
      <c r="K21" s="58" t="str">
        <f>IF(C18="","1-5項が「LAN接続方式」の場合は不要",IF(C18="SIMカード方式","1-5項が「LAN接続方式」の場合は不要",""))</f>
        <v>1-5項が「LAN接続方式」の場合は不要</v>
      </c>
    </row>
    <row r="22" spans="1:13" ht="13.5" thickBot="1">
      <c r="A22" s="52" t="s">
        <v>164</v>
      </c>
      <c r="B22" s="53" t="s">
        <v>413</v>
      </c>
      <c r="C22" s="387"/>
      <c r="D22" s="388"/>
      <c r="E22" s="388"/>
      <c r="F22" s="388"/>
      <c r="G22" s="388"/>
      <c r="H22" s="389"/>
      <c r="I22" s="236" t="s">
        <v>876</v>
      </c>
      <c r="J22" s="92" t="str">
        <f>IF(データ抽出!F22="","",データ抽出!F22)</f>
        <v/>
      </c>
      <c r="K22" s="56"/>
    </row>
    <row r="23" spans="1:13" ht="15" customHeight="1">
      <c r="A23" s="57" t="s">
        <v>437</v>
      </c>
      <c r="B23" s="59" t="s">
        <v>419</v>
      </c>
      <c r="C23" s="390" t="str">
        <f>データ抽出!C23</f>
        <v/>
      </c>
      <c r="D23" s="391"/>
      <c r="E23" s="391"/>
      <c r="F23" s="391"/>
      <c r="G23" s="391"/>
      <c r="H23" s="392"/>
      <c r="I23" s="237"/>
      <c r="J23" s="103"/>
      <c r="K23" s="60" t="s">
        <v>885</v>
      </c>
    </row>
    <row r="24" spans="1:13" ht="50.15" customHeight="1">
      <c r="A24" s="310" t="s">
        <v>438</v>
      </c>
      <c r="B24" s="278" t="s">
        <v>775</v>
      </c>
      <c r="C24" s="279"/>
      <c r="D24" s="279"/>
      <c r="E24" s="279"/>
      <c r="F24" s="279"/>
      <c r="G24" s="279"/>
      <c r="H24" s="279"/>
      <c r="I24" s="279"/>
      <c r="J24" s="279"/>
      <c r="K24" s="280"/>
    </row>
    <row r="25" spans="1:13" ht="35.15" customHeight="1">
      <c r="A25" s="311"/>
      <c r="B25" s="386" t="s">
        <v>755</v>
      </c>
      <c r="C25" s="303"/>
      <c r="D25" s="303"/>
      <c r="E25" s="303"/>
      <c r="F25" s="303"/>
      <c r="G25" s="303"/>
      <c r="H25" s="303"/>
      <c r="I25" s="303"/>
      <c r="J25" s="303"/>
      <c r="K25" s="304"/>
    </row>
    <row r="26" spans="1:13" ht="35.15" customHeight="1">
      <c r="A26" s="312"/>
      <c r="B26" s="308" t="s">
        <v>756</v>
      </c>
      <c r="C26" s="275"/>
      <c r="D26" s="275"/>
      <c r="E26" s="275"/>
      <c r="F26" s="275"/>
      <c r="G26" s="275"/>
      <c r="H26" s="275"/>
      <c r="I26" s="275"/>
      <c r="J26" s="275"/>
      <c r="K26" s="309"/>
    </row>
    <row r="27" spans="1:13" ht="68.25" customHeight="1" thickBot="1">
      <c r="A27" s="383" t="s">
        <v>792</v>
      </c>
      <c r="B27" s="384"/>
      <c r="C27" s="384"/>
      <c r="D27" s="384"/>
      <c r="E27" s="384"/>
      <c r="F27" s="384"/>
      <c r="G27" s="384"/>
      <c r="H27" s="384"/>
      <c r="I27" s="384"/>
      <c r="J27" s="384"/>
      <c r="K27" s="385"/>
    </row>
    <row r="28" spans="1:13">
      <c r="A28" s="49" t="s">
        <v>165</v>
      </c>
      <c r="B28" s="50" t="s">
        <v>3</v>
      </c>
      <c r="C28" s="393"/>
      <c r="D28" s="394"/>
      <c r="E28" s="394"/>
      <c r="F28" s="394"/>
      <c r="G28" s="394"/>
      <c r="H28" s="395"/>
      <c r="I28" s="238" t="s">
        <v>876</v>
      </c>
      <c r="J28" s="91" t="str">
        <f>IF(データ抽出!F28="","",データ抽出!F28)</f>
        <v/>
      </c>
      <c r="K28" s="110" t="s">
        <v>520</v>
      </c>
    </row>
    <row r="29" spans="1:13">
      <c r="A29" s="52" t="s">
        <v>166</v>
      </c>
      <c r="B29" s="53" t="s">
        <v>4</v>
      </c>
      <c r="C29" s="327"/>
      <c r="D29" s="328"/>
      <c r="E29" s="328"/>
      <c r="F29" s="328"/>
      <c r="G29" s="328"/>
      <c r="H29" s="329"/>
      <c r="I29" s="239" t="s">
        <v>876</v>
      </c>
      <c r="J29" s="92" t="str">
        <f>IF(データ抽出!F29="","",データ抽出!F29)</f>
        <v/>
      </c>
      <c r="K29" s="63" t="s">
        <v>521</v>
      </c>
    </row>
    <row r="30" spans="1:13">
      <c r="A30" s="52" t="s">
        <v>167</v>
      </c>
      <c r="B30" s="53" t="s">
        <v>5</v>
      </c>
      <c r="C30" s="327"/>
      <c r="D30" s="328"/>
      <c r="E30" s="328"/>
      <c r="F30" s="328"/>
      <c r="G30" s="328"/>
      <c r="H30" s="329"/>
      <c r="I30" s="240" t="s">
        <v>876</v>
      </c>
      <c r="J30" s="92" t="str">
        <f>IF(データ抽出!F30="","",データ抽出!F30)</f>
        <v/>
      </c>
      <c r="K30" s="63" t="s">
        <v>522</v>
      </c>
    </row>
    <row r="31" spans="1:13">
      <c r="A31" s="52" t="s">
        <v>168</v>
      </c>
      <c r="B31" s="53" t="s">
        <v>407</v>
      </c>
      <c r="C31" s="327"/>
      <c r="D31" s="328"/>
      <c r="E31" s="328"/>
      <c r="F31" s="328"/>
      <c r="G31" s="328"/>
      <c r="H31" s="329"/>
      <c r="I31" s="240" t="s">
        <v>876</v>
      </c>
      <c r="J31" s="92" t="str">
        <f>IF(データ抽出!F31="","",データ抽出!F31)</f>
        <v/>
      </c>
      <c r="K31" s="63"/>
    </row>
    <row r="32" spans="1:13">
      <c r="A32" s="52" t="s">
        <v>169</v>
      </c>
      <c r="B32" s="53" t="s">
        <v>7</v>
      </c>
      <c r="C32" s="327"/>
      <c r="D32" s="328"/>
      <c r="E32" s="328"/>
      <c r="F32" s="328"/>
      <c r="G32" s="328"/>
      <c r="H32" s="329"/>
      <c r="I32" s="240" t="s">
        <v>876</v>
      </c>
      <c r="J32" s="92" t="str">
        <f>IF(データ抽出!F32="","",データ抽出!F32)</f>
        <v/>
      </c>
      <c r="K32" s="63" t="s">
        <v>527</v>
      </c>
    </row>
    <row r="33" spans="1:13">
      <c r="A33" s="52" t="s">
        <v>170</v>
      </c>
      <c r="B33" s="53" t="s">
        <v>8</v>
      </c>
      <c r="C33" s="327"/>
      <c r="D33" s="328"/>
      <c r="E33" s="328"/>
      <c r="F33" s="328"/>
      <c r="G33" s="328"/>
      <c r="H33" s="329"/>
      <c r="I33" s="240" t="str">
        <f>IF(データ抽出!E33="","",データ抽出!E33)</f>
        <v/>
      </c>
      <c r="J33" s="92" t="str">
        <f>IF(データ抽出!F33="","",データ抽出!F33)</f>
        <v/>
      </c>
      <c r="K33" s="63" t="s">
        <v>532</v>
      </c>
    </row>
    <row r="34" spans="1:13">
      <c r="A34" s="52" t="s">
        <v>171</v>
      </c>
      <c r="B34" s="53" t="s">
        <v>9</v>
      </c>
      <c r="C34" s="327"/>
      <c r="D34" s="328"/>
      <c r="E34" s="328"/>
      <c r="F34" s="328"/>
      <c r="G34" s="328"/>
      <c r="H34" s="329"/>
      <c r="I34" s="240" t="str">
        <f>IF(データ抽出!E34="","",データ抽出!E34)</f>
        <v/>
      </c>
      <c r="J34" s="92" t="str">
        <f>IF(データ抽出!F34="","",データ抽出!F34)</f>
        <v/>
      </c>
      <c r="K34" s="63" t="s">
        <v>533</v>
      </c>
    </row>
    <row r="35" spans="1:13">
      <c r="A35" s="52" t="s">
        <v>172</v>
      </c>
      <c r="B35" s="53" t="s">
        <v>487</v>
      </c>
      <c r="C35" s="297"/>
      <c r="D35" s="298"/>
      <c r="E35" s="298"/>
      <c r="F35" s="298"/>
      <c r="G35" s="298"/>
      <c r="H35" s="299"/>
      <c r="I35" s="240" t="s">
        <v>876</v>
      </c>
      <c r="J35" s="92" t="str">
        <f>IF(データ抽出!F35="","",データ抽出!F35)</f>
        <v/>
      </c>
      <c r="K35" s="63" t="s">
        <v>529</v>
      </c>
    </row>
    <row r="36" spans="1:13">
      <c r="A36" s="52" t="s">
        <v>173</v>
      </c>
      <c r="B36" s="53" t="s">
        <v>11</v>
      </c>
      <c r="C36" s="297"/>
      <c r="D36" s="298"/>
      <c r="E36" s="298"/>
      <c r="F36" s="298"/>
      <c r="G36" s="298"/>
      <c r="H36" s="299"/>
      <c r="I36" s="240" t="s">
        <v>876</v>
      </c>
      <c r="J36" s="92" t="str">
        <f>IF(データ抽出!F36="","",データ抽出!F36)</f>
        <v/>
      </c>
      <c r="K36" s="63" t="s">
        <v>530</v>
      </c>
    </row>
    <row r="37" spans="1:13" ht="13.5" thickBot="1">
      <c r="A37" s="74" t="s">
        <v>174</v>
      </c>
      <c r="B37" s="75" t="s">
        <v>12</v>
      </c>
      <c r="C37" s="417"/>
      <c r="D37" s="418"/>
      <c r="E37" s="418"/>
      <c r="F37" s="418"/>
      <c r="G37" s="418"/>
      <c r="H37" s="419"/>
      <c r="I37" s="241" t="s">
        <v>876</v>
      </c>
      <c r="J37" s="104" t="str">
        <f>IF(データ抽出!F37="","",データ抽出!F37)</f>
        <v/>
      </c>
      <c r="K37" s="111"/>
    </row>
    <row r="38" spans="1:13" ht="20.149999999999999" customHeight="1" thickBot="1">
      <c r="A38" s="330" t="s">
        <v>483</v>
      </c>
      <c r="B38" s="331"/>
      <c r="C38" s="379"/>
      <c r="D38" s="379"/>
      <c r="E38" s="379"/>
      <c r="F38" s="379"/>
      <c r="G38" s="379"/>
      <c r="H38" s="379"/>
      <c r="I38" s="331"/>
      <c r="J38" s="331"/>
      <c r="K38" s="333"/>
    </row>
    <row r="39" spans="1:13">
      <c r="A39" s="72" t="s">
        <v>690</v>
      </c>
      <c r="B39" s="67" t="s">
        <v>688</v>
      </c>
      <c r="C39" s="420"/>
      <c r="D39" s="421"/>
      <c r="E39" s="421"/>
      <c r="F39" s="421"/>
      <c r="G39" s="421"/>
      <c r="H39" s="422"/>
      <c r="I39" s="242" t="s">
        <v>876</v>
      </c>
      <c r="J39" s="105" t="str">
        <f>IF(データ抽出!F39="","",データ抽出!F39)</f>
        <v/>
      </c>
      <c r="K39" s="80" t="s">
        <v>527</v>
      </c>
    </row>
    <row r="40" spans="1:13">
      <c r="A40" s="197" t="str">
        <f>IF(C39="同じ","","4-1")</f>
        <v>4-1</v>
      </c>
      <c r="B40" s="67" t="str">
        <f>IF(C39="同じ","","郵便番号")</f>
        <v>郵便番号</v>
      </c>
      <c r="C40" s="327"/>
      <c r="D40" s="328"/>
      <c r="E40" s="328"/>
      <c r="F40" s="328"/>
      <c r="G40" s="328"/>
      <c r="H40" s="329"/>
      <c r="I40" s="239" t="str">
        <f>IF(データ抽出!E40="","",データ抽出!E40)</f>
        <v/>
      </c>
      <c r="J40" s="105" t="str">
        <f>IF(データ抽出!F40="","",データ抽出!F40)</f>
        <v/>
      </c>
      <c r="K40" s="80" t="str">
        <f>IF(C39="同じ","","ハイフン(－)なしの7桁の数字")</f>
        <v>ハイフン(－)なしの7桁の数字</v>
      </c>
    </row>
    <row r="41" spans="1:13">
      <c r="A41" s="197" t="str">
        <f>IF(C39="同じ","","4-2")</f>
        <v>4-2</v>
      </c>
      <c r="B41" s="53" t="str">
        <f>IF(C39="同じ","","電話番号")</f>
        <v>電話番号</v>
      </c>
      <c r="C41" s="327"/>
      <c r="D41" s="328"/>
      <c r="E41" s="328"/>
      <c r="F41" s="328"/>
      <c r="G41" s="328"/>
      <c r="H41" s="329"/>
      <c r="I41" s="239" t="str">
        <f>IF(データ抽出!E41="","",データ抽出!E41)</f>
        <v/>
      </c>
      <c r="J41" s="92" t="str">
        <f>IF(データ抽出!F41="","",データ抽出!F41)</f>
        <v/>
      </c>
      <c r="K41" s="63" t="str">
        <f>IF(C39="同じ","","ハイフン(－)なしの10桁または11桁の数字")</f>
        <v>ハイフン(－)なしの10桁または11桁の数字</v>
      </c>
    </row>
    <row r="42" spans="1:13" ht="13.5" customHeight="1">
      <c r="A42" s="197" t="str">
        <f>IF(C39="同じ","","4-3")</f>
        <v>4-3</v>
      </c>
      <c r="B42" s="53" t="str">
        <f>IF(C39="同じ","","住所フリガナ")</f>
        <v>住所フリガナ</v>
      </c>
      <c r="C42" s="327"/>
      <c r="D42" s="328"/>
      <c r="E42" s="328"/>
      <c r="F42" s="328"/>
      <c r="G42" s="328"/>
      <c r="H42" s="329"/>
      <c r="I42" s="240" t="str">
        <f>IF(データ抽出!E42="","",データ抽出!E42)</f>
        <v/>
      </c>
      <c r="J42" s="92" t="str">
        <f>IF(データ抽出!F42="","",データ抽出!F42)</f>
        <v/>
      </c>
      <c r="K42" s="63" t="str">
        <f>IF(C39="同じ","","全角カナ入力")</f>
        <v>全角カナ入力</v>
      </c>
    </row>
    <row r="43" spans="1:13" ht="13.5" customHeight="1">
      <c r="A43" s="197" t="str">
        <f>IF(C39="同じ","","4-4")</f>
        <v>4-4</v>
      </c>
      <c r="B43" s="53" t="str">
        <f>IF(C39="同じ","","住所")</f>
        <v>住所</v>
      </c>
      <c r="C43" s="327"/>
      <c r="D43" s="328"/>
      <c r="E43" s="328"/>
      <c r="F43" s="328"/>
      <c r="G43" s="328"/>
      <c r="H43" s="329"/>
      <c r="I43" s="240" t="str">
        <f>IF(データ抽出!E43="","",データ抽出!E43)</f>
        <v/>
      </c>
      <c r="J43" s="92" t="str">
        <f>IF(データ抽出!F43="","",データ抽出!F43)</f>
        <v/>
      </c>
      <c r="K43" s="63"/>
    </row>
    <row r="44" spans="1:13" ht="13.5" customHeight="1">
      <c r="A44" s="197" t="str">
        <f>IF(C39="同じ","","4-5")</f>
        <v>4-5</v>
      </c>
      <c r="B44" s="53" t="str">
        <f>IF(C39="同じ","","個人・法人")</f>
        <v>個人・法人</v>
      </c>
      <c r="C44" s="327"/>
      <c r="D44" s="328"/>
      <c r="E44" s="328"/>
      <c r="F44" s="328"/>
      <c r="G44" s="328"/>
      <c r="H44" s="329"/>
      <c r="I44" s="240" t="str">
        <f>IF(データ抽出!E44="","",データ抽出!E44)</f>
        <v/>
      </c>
      <c r="J44" s="92" t="str">
        <f>IF(データ抽出!F44="","",データ抽出!F44)</f>
        <v/>
      </c>
      <c r="K44" s="63" t="str">
        <f>IF(C39="同じ","","リストより選択")</f>
        <v>リストより選択</v>
      </c>
    </row>
    <row r="45" spans="1:13" ht="13.5" customHeight="1">
      <c r="A45" s="197" t="str">
        <f>IF(C39="同じ","","4-6")</f>
        <v>4-6</v>
      </c>
      <c r="B45" s="53" t="str">
        <f>IF(C39="同じ","","会社名及び部署名フリガナ")</f>
        <v>会社名及び部署名フリガナ</v>
      </c>
      <c r="C45" s="327"/>
      <c r="D45" s="328"/>
      <c r="E45" s="328"/>
      <c r="F45" s="328"/>
      <c r="G45" s="328"/>
      <c r="H45" s="329"/>
      <c r="I45" s="240" t="str">
        <f>IF(データ抽出!E45="","",データ抽出!E45)</f>
        <v/>
      </c>
      <c r="J45" s="92" t="str">
        <f>IF(データ抽出!F45="","",データ抽出!F45)</f>
        <v/>
      </c>
      <c r="K45" s="63" t="str">
        <f>IF(C39="同じ","","法人の場合は必須　全角カナ入力")</f>
        <v>法人の場合は必須　全角カナ入力</v>
      </c>
    </row>
    <row r="46" spans="1:13" ht="13.5" customHeight="1">
      <c r="A46" s="197" t="str">
        <f>IF(C39="同じ","","4-7")</f>
        <v>4-7</v>
      </c>
      <c r="B46" s="53" t="str">
        <f>IF(C39="同じ","","会社名及び部署名")</f>
        <v>会社名及び部署名</v>
      </c>
      <c r="C46" s="327"/>
      <c r="D46" s="328"/>
      <c r="E46" s="328"/>
      <c r="F46" s="328"/>
      <c r="G46" s="328"/>
      <c r="H46" s="329"/>
      <c r="I46" s="240" t="str">
        <f>IF(データ抽出!E46="","",データ抽出!E46)</f>
        <v/>
      </c>
      <c r="J46" s="92" t="str">
        <f>IF(データ抽出!F46="","",データ抽出!F46)</f>
        <v/>
      </c>
      <c r="K46" s="63" t="str">
        <f>IF(C39="同じ","","法人の場合は必須")</f>
        <v>法人の場合は必須</v>
      </c>
      <c r="M46" s="61" t="s">
        <v>435</v>
      </c>
    </row>
    <row r="47" spans="1:13" ht="13.5" customHeight="1">
      <c r="A47" s="197" t="str">
        <f>IF(C39="同じ","","4-8")</f>
        <v>4-8</v>
      </c>
      <c r="B47" s="53" t="str">
        <f>IF(C39="同じ","","ご担当者様名フリガナ")</f>
        <v>ご担当者様名フリガナ</v>
      </c>
      <c r="C47" s="297"/>
      <c r="D47" s="298"/>
      <c r="E47" s="298"/>
      <c r="F47" s="298"/>
      <c r="G47" s="298"/>
      <c r="H47" s="299"/>
      <c r="I47" s="240" t="str">
        <f>IF(データ抽出!E47="","",データ抽出!E47)</f>
        <v/>
      </c>
      <c r="J47" s="92" t="str">
        <f>IF(データ抽出!F47="","",データ抽出!F47)</f>
        <v/>
      </c>
      <c r="K47" s="63" t="str">
        <f>IF(C39="同じ","","氏／名を分けて入力　全角カナ入力")</f>
        <v>氏／名を分けて入力　全角カナ入力</v>
      </c>
    </row>
    <row r="48" spans="1:13" ht="13.5" customHeight="1">
      <c r="A48" s="197" t="str">
        <f>IF(C39="同じ","","4-9")</f>
        <v>4-9</v>
      </c>
      <c r="B48" s="53" t="str">
        <f>IF(C39="同じ","","ご担当者様名")</f>
        <v>ご担当者様名</v>
      </c>
      <c r="C48" s="297"/>
      <c r="D48" s="298"/>
      <c r="E48" s="298"/>
      <c r="F48" s="298"/>
      <c r="G48" s="298"/>
      <c r="H48" s="299"/>
      <c r="I48" s="240" t="str">
        <f>IF(データ抽出!E48="","",データ抽出!E48)</f>
        <v/>
      </c>
      <c r="J48" s="92" t="str">
        <f>IF(データ抽出!F48="","",データ抽出!F48)</f>
        <v/>
      </c>
      <c r="K48" s="63" t="str">
        <f>IF(C39="同じ","","氏／名を分けて入力")</f>
        <v>氏／名を分けて入力</v>
      </c>
    </row>
    <row r="49" spans="1:11" ht="14.25" customHeight="1" thickBot="1">
      <c r="A49" s="209" t="str">
        <f>IF(C39="同じ","","4-10")</f>
        <v>4-10</v>
      </c>
      <c r="B49" s="75" t="str">
        <f>IF(C39="同じ","","メールアドレス")</f>
        <v>メールアドレス</v>
      </c>
      <c r="C49" s="417"/>
      <c r="D49" s="418"/>
      <c r="E49" s="418"/>
      <c r="F49" s="418"/>
      <c r="G49" s="418"/>
      <c r="H49" s="419"/>
      <c r="I49" s="241" t="str">
        <f>IF(データ抽出!E49="","",データ抽出!E49)</f>
        <v/>
      </c>
      <c r="J49" s="104" t="str">
        <f>IF(データ抽出!F49="","",データ抽出!F49)</f>
        <v/>
      </c>
      <c r="K49" s="111"/>
    </row>
    <row r="50" spans="1:11" ht="20.149999999999999" customHeight="1" thickBot="1">
      <c r="A50" s="330" t="s">
        <v>484</v>
      </c>
      <c r="B50" s="331"/>
      <c r="C50" s="379"/>
      <c r="D50" s="379"/>
      <c r="E50" s="379"/>
      <c r="F50" s="379"/>
      <c r="G50" s="379"/>
      <c r="H50" s="379"/>
      <c r="I50" s="331"/>
      <c r="J50" s="331"/>
      <c r="K50" s="333"/>
    </row>
    <row r="51" spans="1:11">
      <c r="A51" s="74" t="s">
        <v>184</v>
      </c>
      <c r="B51" s="75" t="s">
        <v>401</v>
      </c>
      <c r="C51" s="294"/>
      <c r="D51" s="295"/>
      <c r="E51" s="295"/>
      <c r="F51" s="295"/>
      <c r="G51" s="295"/>
      <c r="H51" s="296"/>
      <c r="I51" s="243" t="s">
        <v>876</v>
      </c>
      <c r="J51" s="105" t="str">
        <f>IF(データ抽出!F51="","",データ抽出!F51)</f>
        <v/>
      </c>
      <c r="K51" s="111" t="s">
        <v>527</v>
      </c>
    </row>
    <row r="52" spans="1:11">
      <c r="A52" s="52" t="s">
        <v>185</v>
      </c>
      <c r="B52" s="53" t="s">
        <v>402</v>
      </c>
      <c r="C52" s="315"/>
      <c r="D52" s="316"/>
      <c r="E52" s="316"/>
      <c r="F52" s="316"/>
      <c r="G52" s="316"/>
      <c r="H52" s="317"/>
      <c r="I52" s="240" t="s">
        <v>876</v>
      </c>
      <c r="J52" s="92" t="str">
        <f>IF(データ抽出!F52="","",データ抽出!F52)</f>
        <v/>
      </c>
      <c r="K52" s="63" t="s">
        <v>522</v>
      </c>
    </row>
    <row r="53" spans="1:11">
      <c r="A53" s="52" t="s">
        <v>186</v>
      </c>
      <c r="B53" s="53" t="s">
        <v>403</v>
      </c>
      <c r="C53" s="315"/>
      <c r="D53" s="316"/>
      <c r="E53" s="316"/>
      <c r="F53" s="316"/>
      <c r="G53" s="316"/>
      <c r="H53" s="317"/>
      <c r="I53" s="240" t="s">
        <v>876</v>
      </c>
      <c r="J53" s="92" t="str">
        <f>IF(データ抽出!F53="","",データ抽出!F53)</f>
        <v/>
      </c>
      <c r="K53" s="63"/>
    </row>
    <row r="54" spans="1:11">
      <c r="A54" s="52" t="s">
        <v>187</v>
      </c>
      <c r="B54" s="53" t="s">
        <v>404</v>
      </c>
      <c r="C54" s="345"/>
      <c r="D54" s="346"/>
      <c r="E54" s="346"/>
      <c r="F54" s="346"/>
      <c r="G54" s="346"/>
      <c r="H54" s="347"/>
      <c r="I54" s="239" t="s">
        <v>876</v>
      </c>
      <c r="J54" s="92" t="str">
        <f>IF(データ抽出!F54="","",データ抽出!F54)</f>
        <v/>
      </c>
      <c r="K54" s="63" t="s">
        <v>521</v>
      </c>
    </row>
    <row r="55" spans="1:11">
      <c r="A55" s="52" t="s">
        <v>188</v>
      </c>
      <c r="B55" s="53" t="s">
        <v>475</v>
      </c>
      <c r="C55" s="345"/>
      <c r="D55" s="346"/>
      <c r="E55" s="346"/>
      <c r="F55" s="346"/>
      <c r="G55" s="346"/>
      <c r="H55" s="347"/>
      <c r="I55" s="239" t="s">
        <v>876</v>
      </c>
      <c r="J55" s="92" t="str">
        <f>IF(データ抽出!F55="","",データ抽出!F55)</f>
        <v/>
      </c>
      <c r="K55" s="63" t="s">
        <v>520</v>
      </c>
    </row>
    <row r="56" spans="1:11">
      <c r="A56" s="52" t="s">
        <v>189</v>
      </c>
      <c r="B56" s="53" t="s">
        <v>464</v>
      </c>
      <c r="C56" s="315"/>
      <c r="D56" s="316"/>
      <c r="E56" s="316"/>
      <c r="F56" s="316"/>
      <c r="G56" s="316"/>
      <c r="H56" s="317"/>
      <c r="I56" s="240" t="s">
        <v>876</v>
      </c>
      <c r="J56" s="92" t="str">
        <f>IF(データ抽出!F56="","",データ抽出!F56)</f>
        <v/>
      </c>
      <c r="K56" s="63"/>
    </row>
    <row r="57" spans="1:11">
      <c r="A57" s="52" t="s">
        <v>190</v>
      </c>
      <c r="B57" s="53" t="s">
        <v>466</v>
      </c>
      <c r="C57" s="315"/>
      <c r="D57" s="316"/>
      <c r="E57" s="316"/>
      <c r="F57" s="316"/>
      <c r="G57" s="316"/>
      <c r="H57" s="317"/>
      <c r="I57" s="240" t="s">
        <v>876</v>
      </c>
      <c r="J57" s="92" t="str">
        <f>IF(データ抽出!F57="","",データ抽出!F57)</f>
        <v/>
      </c>
      <c r="K57" s="63" t="s">
        <v>522</v>
      </c>
    </row>
    <row r="58" spans="1:11">
      <c r="A58" s="52" t="s">
        <v>191</v>
      </c>
      <c r="B58" s="53" t="s">
        <v>468</v>
      </c>
      <c r="C58" s="315"/>
      <c r="D58" s="316"/>
      <c r="E58" s="316"/>
      <c r="F58" s="316"/>
      <c r="G58" s="316"/>
      <c r="H58" s="317"/>
      <c r="I58" s="240" t="s">
        <v>876</v>
      </c>
      <c r="J58" s="92" t="str">
        <f>IF(データ抽出!F58="","",データ抽出!F58)</f>
        <v/>
      </c>
      <c r="K58" s="63"/>
    </row>
    <row r="59" spans="1:11">
      <c r="A59" s="52" t="s">
        <v>192</v>
      </c>
      <c r="B59" s="53" t="s">
        <v>476</v>
      </c>
      <c r="C59" s="315"/>
      <c r="D59" s="316"/>
      <c r="E59" s="316"/>
      <c r="F59" s="316"/>
      <c r="G59" s="316"/>
      <c r="H59" s="317"/>
      <c r="I59" s="240" t="s">
        <v>876</v>
      </c>
      <c r="J59" s="92" t="str">
        <f>IF(データ抽出!F59="","",データ抽出!F59)</f>
        <v/>
      </c>
      <c r="K59" s="63" t="s">
        <v>523</v>
      </c>
    </row>
    <row r="60" spans="1:11">
      <c r="A60" s="52" t="s">
        <v>193</v>
      </c>
      <c r="B60" s="53" t="s">
        <v>477</v>
      </c>
      <c r="C60" s="315"/>
      <c r="D60" s="316"/>
      <c r="E60" s="316"/>
      <c r="F60" s="316"/>
      <c r="G60" s="316"/>
      <c r="H60" s="317"/>
      <c r="I60" s="240" t="s">
        <v>876</v>
      </c>
      <c r="J60" s="92" t="str">
        <f>IF(データ抽出!F60="","",データ抽出!F60)</f>
        <v/>
      </c>
      <c r="K60" s="63" t="s">
        <v>524</v>
      </c>
    </row>
    <row r="61" spans="1:11">
      <c r="A61" s="52" t="s">
        <v>194</v>
      </c>
      <c r="B61" s="53" t="s">
        <v>440</v>
      </c>
      <c r="C61" s="315"/>
      <c r="D61" s="316"/>
      <c r="E61" s="316"/>
      <c r="F61" s="316"/>
      <c r="G61" s="316"/>
      <c r="H61" s="317"/>
      <c r="I61" s="240" t="s">
        <v>876</v>
      </c>
      <c r="J61" s="92" t="str">
        <f>IF(データ抽出!F61="","",データ抽出!F61)</f>
        <v/>
      </c>
      <c r="K61" s="63" t="s">
        <v>527</v>
      </c>
    </row>
    <row r="62" spans="1:11">
      <c r="A62" s="52" t="s">
        <v>195</v>
      </c>
      <c r="B62" s="53" t="s">
        <v>415</v>
      </c>
      <c r="C62" s="315"/>
      <c r="D62" s="316"/>
      <c r="E62" s="316"/>
      <c r="F62" s="316"/>
      <c r="G62" s="316"/>
      <c r="H62" s="317"/>
      <c r="I62" s="240" t="s">
        <v>876</v>
      </c>
      <c r="J62" s="92" t="str">
        <f>IF(データ抽出!F62="","",データ抽出!F62)</f>
        <v/>
      </c>
      <c r="K62" s="63" t="s">
        <v>479</v>
      </c>
    </row>
    <row r="63" spans="1:11">
      <c r="A63" s="52" t="s">
        <v>196</v>
      </c>
      <c r="B63" s="53" t="s">
        <v>418</v>
      </c>
      <c r="C63" s="315"/>
      <c r="D63" s="316"/>
      <c r="E63" s="316"/>
      <c r="F63" s="316"/>
      <c r="G63" s="316"/>
      <c r="H63" s="317"/>
      <c r="I63" s="240" t="s">
        <v>876</v>
      </c>
      <c r="J63" s="92" t="str">
        <f>IF(データ抽出!F63="","",データ抽出!F63)</f>
        <v/>
      </c>
      <c r="K63" s="63" t="s">
        <v>932</v>
      </c>
    </row>
    <row r="64" spans="1:11">
      <c r="A64" s="52" t="s">
        <v>197</v>
      </c>
      <c r="B64" s="53" t="s">
        <v>13</v>
      </c>
      <c r="C64" s="315"/>
      <c r="D64" s="316"/>
      <c r="E64" s="316"/>
      <c r="F64" s="316"/>
      <c r="G64" s="316"/>
      <c r="H64" s="317"/>
      <c r="I64" s="240" t="s">
        <v>876</v>
      </c>
      <c r="J64" s="92" t="str">
        <f>IF(データ抽出!F64="","",データ抽出!F64)</f>
        <v/>
      </c>
      <c r="K64" s="63"/>
    </row>
    <row r="65" spans="1:11">
      <c r="A65" s="52" t="s">
        <v>198</v>
      </c>
      <c r="B65" s="53" t="s">
        <v>420</v>
      </c>
      <c r="C65" s="345"/>
      <c r="D65" s="346"/>
      <c r="E65" s="346"/>
      <c r="F65" s="346"/>
      <c r="G65" s="346"/>
      <c r="H65" s="347"/>
      <c r="I65" s="239" t="s">
        <v>876</v>
      </c>
      <c r="J65" s="92" t="str">
        <f>IF(データ抽出!F65="","",データ抽出!F65)</f>
        <v/>
      </c>
      <c r="K65" s="63" t="s">
        <v>521</v>
      </c>
    </row>
    <row r="66" spans="1:11">
      <c r="A66" s="52" t="s">
        <v>199</v>
      </c>
      <c r="B66" s="53" t="s">
        <v>421</v>
      </c>
      <c r="C66" s="348"/>
      <c r="D66" s="316"/>
      <c r="E66" s="316"/>
      <c r="F66" s="316"/>
      <c r="G66" s="316"/>
      <c r="H66" s="317"/>
      <c r="I66" s="240" t="s">
        <v>876</v>
      </c>
      <c r="J66" s="92" t="str">
        <f>IF(データ抽出!F66="","",データ抽出!F66)</f>
        <v/>
      </c>
      <c r="K66" s="63"/>
    </row>
    <row r="67" spans="1:11">
      <c r="A67" s="197" t="str">
        <f>IF(LEFT(C$16,4)="ローカル","","5-17")</f>
        <v>5-17</v>
      </c>
      <c r="B67" s="178" t="str">
        <f>IF(LEFT(C$16,4)="ローカル","","オーナー様向け 異常発生・復旧メール通知設定")</f>
        <v>オーナー様向け 異常発生・復旧メール通知設定</v>
      </c>
      <c r="C67" s="282"/>
      <c r="D67" s="283"/>
      <c r="E67" s="283"/>
      <c r="F67" s="283"/>
      <c r="G67" s="283"/>
      <c r="H67" s="284"/>
      <c r="I67" s="240" t="str">
        <f>IF(データ抽出!E67="","",データ抽出!E67)</f>
        <v/>
      </c>
      <c r="J67" s="92" t="str">
        <f>IF(データ抽出!F67="","",データ抽出!F67)</f>
        <v/>
      </c>
      <c r="K67" s="200" t="str">
        <f>IF(B67="","",IF(C$63="","",IF(C$63="新規登録","リストより選択","発電ポータルアカウントより変更が可能です")))</f>
        <v/>
      </c>
    </row>
    <row r="68" spans="1:11">
      <c r="A68" s="196" t="str">
        <f>IF(LEFT(C$16,4)="ローカル","",IF(LEFT(C$16,14)="クラウド監視サービスLite","",IF(LEFT(C$16,21)="クラウド区画分譲オプションサービスLite","","5-18")))</f>
        <v>5-18</v>
      </c>
      <c r="B68" s="178" t="str">
        <f>IF(LEFT(C$16,4)="ローカル","",IF(LEFT(C$16,14)="クラウド監視サービスLite","",IF(LEFT(C$16,21)="クラウド区画分譲オプションサービスLite","","オーナー様向け 異常対応更新メール通知設定")))</f>
        <v>オーナー様向け 異常対応更新メール通知設定</v>
      </c>
      <c r="C68" s="282"/>
      <c r="D68" s="283"/>
      <c r="E68" s="283"/>
      <c r="F68" s="283"/>
      <c r="G68" s="283"/>
      <c r="H68" s="284"/>
      <c r="I68" s="240" t="str">
        <f>IF(データ抽出!E68="","",データ抽出!E68)</f>
        <v/>
      </c>
      <c r="J68" s="92" t="str">
        <f>IF(データ抽出!F68="","",データ抽出!F68)</f>
        <v/>
      </c>
      <c r="K68" s="200" t="str">
        <f t="shared" ref="K68:K69" si="0">IF(B68="","",IF(C$63="","",IF(C$63="新規登録","リストより選択","発電ポータルアカウントより変更が可能です")))</f>
        <v/>
      </c>
    </row>
    <row r="69" spans="1:11">
      <c r="A69" s="198" t="str">
        <f>IF(LEFT(C$16,4)="ローカル","",IF(LEFT(C$16,14)="クラウド監視サービスLite","",IF(LEFT(C$16,21)="クラウド区画分譲オプションサービスLite","","5-19")))</f>
        <v>5-19</v>
      </c>
      <c r="B69" s="201" t="str">
        <f>IF(LEFT(C$16,4)="ローカル","",IF(LEFT(C$16,14)="クラウド監視サービスLite","",IF(LEFT(C$16,21)="クラウド区画分譲オプションサービスLite","","オーナー様向け 月次レポートメール通知設定")))</f>
        <v>オーナー様向け 月次レポートメール通知設定</v>
      </c>
      <c r="C69" s="364"/>
      <c r="D69" s="365"/>
      <c r="E69" s="365"/>
      <c r="F69" s="365"/>
      <c r="G69" s="365"/>
      <c r="H69" s="366"/>
      <c r="I69" s="244" t="str">
        <f>IF(データ抽出!E69="","",データ抽出!E69)</f>
        <v/>
      </c>
      <c r="J69" s="93" t="str">
        <f>IF(データ抽出!F69="","",データ抽出!F69)</f>
        <v/>
      </c>
      <c r="K69" s="202" t="str">
        <f t="shared" si="0"/>
        <v/>
      </c>
    </row>
    <row r="70" spans="1:11">
      <c r="A70" s="70" t="s">
        <v>203</v>
      </c>
      <c r="B70" s="65" t="s">
        <v>417</v>
      </c>
      <c r="C70" s="367"/>
      <c r="D70" s="368"/>
      <c r="E70" s="368"/>
      <c r="F70" s="368"/>
      <c r="G70" s="368"/>
      <c r="H70" s="369"/>
      <c r="I70" s="245" t="s">
        <v>876</v>
      </c>
      <c r="J70" s="91" t="str">
        <f>IF(データ抽出!F70="","",データ抽出!F70)</f>
        <v/>
      </c>
      <c r="K70" s="203" t="s">
        <v>1046</v>
      </c>
    </row>
    <row r="71" spans="1:11">
      <c r="A71" s="69" t="s">
        <v>204</v>
      </c>
      <c r="B71" s="64" t="s">
        <v>416</v>
      </c>
      <c r="C71" s="352"/>
      <c r="D71" s="353"/>
      <c r="E71" s="353"/>
      <c r="F71" s="353"/>
      <c r="G71" s="353"/>
      <c r="H71" s="354"/>
      <c r="I71" s="241" t="s">
        <v>876</v>
      </c>
      <c r="J71" s="104" t="str">
        <f>IF(データ抽出!F71="","",データ抽出!F71)</f>
        <v/>
      </c>
      <c r="K71" s="112" t="s">
        <v>527</v>
      </c>
    </row>
    <row r="72" spans="1:11">
      <c r="A72" s="70" t="s">
        <v>205</v>
      </c>
      <c r="B72" s="65" t="s">
        <v>542</v>
      </c>
      <c r="C72" s="367"/>
      <c r="D72" s="368"/>
      <c r="E72" s="368"/>
      <c r="F72" s="368"/>
      <c r="G72" s="368"/>
      <c r="H72" s="369"/>
      <c r="I72" s="245" t="str">
        <f>IF(データ抽出!E72="","",データ抽出!E72)</f>
        <v>必須</v>
      </c>
      <c r="J72" s="91" t="str">
        <f>IF(データ抽出!F72="","",データ抽出!F72)</f>
        <v/>
      </c>
      <c r="K72" s="113" t="s">
        <v>478</v>
      </c>
    </row>
    <row r="73" spans="1:11">
      <c r="A73" s="52" t="s">
        <v>206</v>
      </c>
      <c r="B73" s="53" t="s">
        <v>543</v>
      </c>
      <c r="C73" s="315"/>
      <c r="D73" s="316"/>
      <c r="E73" s="316"/>
      <c r="F73" s="316"/>
      <c r="G73" s="316"/>
      <c r="H73" s="317"/>
      <c r="I73" s="240" t="str">
        <f>IF(データ抽出!E73="","",データ抽出!E73)</f>
        <v>必須</v>
      </c>
      <c r="J73" s="92" t="str">
        <f>IF(データ抽出!F73="","",データ抽出!F73)</f>
        <v/>
      </c>
      <c r="K73" s="63" t="s">
        <v>479</v>
      </c>
    </row>
    <row r="74" spans="1:11">
      <c r="A74" s="71" t="s">
        <v>207</v>
      </c>
      <c r="B74" s="66" t="s">
        <v>946</v>
      </c>
      <c r="C74" s="352"/>
      <c r="D74" s="353"/>
      <c r="E74" s="353"/>
      <c r="F74" s="353"/>
      <c r="G74" s="353"/>
      <c r="H74" s="354"/>
      <c r="I74" s="244" t="s">
        <v>876</v>
      </c>
      <c r="J74" s="93" t="str">
        <f>IF(データ抽出!F74="","",データ抽出!F74)</f>
        <v/>
      </c>
      <c r="K74" s="114" t="s">
        <v>525</v>
      </c>
    </row>
    <row r="75" spans="1:11">
      <c r="A75" s="72" t="s">
        <v>208</v>
      </c>
      <c r="B75" s="67" t="s">
        <v>544</v>
      </c>
      <c r="C75" s="355"/>
      <c r="D75" s="356"/>
      <c r="E75" s="356"/>
      <c r="F75" s="356"/>
      <c r="G75" s="356"/>
      <c r="H75" s="357"/>
      <c r="I75" s="245" t="str">
        <f>IF(データ抽出!E75="","",データ抽出!E75)</f>
        <v/>
      </c>
      <c r="J75" s="91" t="str">
        <f>IF(データ抽出!F75="","",データ抽出!F75)</f>
        <v/>
      </c>
      <c r="K75" s="113" t="s">
        <v>478</v>
      </c>
    </row>
    <row r="76" spans="1:11">
      <c r="A76" s="52" t="s">
        <v>209</v>
      </c>
      <c r="B76" s="53" t="s">
        <v>545</v>
      </c>
      <c r="C76" s="358"/>
      <c r="D76" s="359"/>
      <c r="E76" s="359"/>
      <c r="F76" s="359"/>
      <c r="G76" s="359"/>
      <c r="H76" s="360"/>
      <c r="I76" s="240" t="str">
        <f>IF(データ抽出!E76="","",データ抽出!E76)</f>
        <v/>
      </c>
      <c r="J76" s="92" t="str">
        <f>IF(データ抽出!F76="","",データ抽出!F76)</f>
        <v/>
      </c>
      <c r="K76" s="63" t="s">
        <v>479</v>
      </c>
    </row>
    <row r="77" spans="1:11">
      <c r="A77" s="69" t="s">
        <v>210</v>
      </c>
      <c r="B77" s="64" t="s">
        <v>558</v>
      </c>
      <c r="C77" s="361"/>
      <c r="D77" s="362"/>
      <c r="E77" s="362"/>
      <c r="F77" s="362"/>
      <c r="G77" s="362"/>
      <c r="H77" s="363"/>
      <c r="I77" s="244" t="str">
        <f>IF(データ抽出!E77="","",データ抽出!E77)</f>
        <v/>
      </c>
      <c r="J77" s="93" t="str">
        <f>IF(データ抽出!F77="","",データ抽出!F77)</f>
        <v/>
      </c>
      <c r="K77" s="114" t="s">
        <v>525</v>
      </c>
    </row>
    <row r="78" spans="1:11">
      <c r="A78" s="70" t="s">
        <v>211</v>
      </c>
      <c r="B78" s="65" t="s">
        <v>546</v>
      </c>
      <c r="C78" s="355"/>
      <c r="D78" s="356"/>
      <c r="E78" s="356"/>
      <c r="F78" s="356"/>
      <c r="G78" s="356"/>
      <c r="H78" s="357"/>
      <c r="I78" s="245" t="str">
        <f>IF(データ抽出!E78="","",データ抽出!E78)</f>
        <v/>
      </c>
      <c r="J78" s="91" t="str">
        <f>IF(データ抽出!F78="","",データ抽出!F78)</f>
        <v/>
      </c>
      <c r="K78" s="113" t="s">
        <v>478</v>
      </c>
    </row>
    <row r="79" spans="1:11">
      <c r="A79" s="52" t="s">
        <v>212</v>
      </c>
      <c r="B79" s="53" t="s">
        <v>547</v>
      </c>
      <c r="C79" s="358"/>
      <c r="D79" s="359"/>
      <c r="E79" s="359"/>
      <c r="F79" s="359"/>
      <c r="G79" s="359"/>
      <c r="H79" s="360"/>
      <c r="I79" s="240" t="str">
        <f>IF(データ抽出!E79="","",データ抽出!E79)</f>
        <v/>
      </c>
      <c r="J79" s="92" t="str">
        <f>IF(データ抽出!F79="","",データ抽出!F79)</f>
        <v/>
      </c>
      <c r="K79" s="63" t="s">
        <v>479</v>
      </c>
    </row>
    <row r="80" spans="1:11">
      <c r="A80" s="71" t="s">
        <v>213</v>
      </c>
      <c r="B80" s="66" t="s">
        <v>559</v>
      </c>
      <c r="C80" s="361"/>
      <c r="D80" s="362"/>
      <c r="E80" s="362"/>
      <c r="F80" s="362"/>
      <c r="G80" s="362"/>
      <c r="H80" s="363"/>
      <c r="I80" s="244" t="str">
        <f>IF(データ抽出!E80="","",データ抽出!E80)</f>
        <v/>
      </c>
      <c r="J80" s="93" t="str">
        <f>IF(データ抽出!F80="","",データ抽出!F80)</f>
        <v/>
      </c>
      <c r="K80" s="114" t="s">
        <v>525</v>
      </c>
    </row>
    <row r="81" spans="1:11">
      <c r="A81" s="72" t="s">
        <v>214</v>
      </c>
      <c r="B81" s="67" t="s">
        <v>548</v>
      </c>
      <c r="C81" s="355"/>
      <c r="D81" s="356"/>
      <c r="E81" s="356"/>
      <c r="F81" s="356"/>
      <c r="G81" s="356"/>
      <c r="H81" s="357"/>
      <c r="I81" s="245" t="str">
        <f>IF(データ抽出!E81="","",データ抽出!E81)</f>
        <v/>
      </c>
      <c r="J81" s="91" t="str">
        <f>IF(データ抽出!F81="","",データ抽出!F81)</f>
        <v/>
      </c>
      <c r="K81" s="113" t="s">
        <v>478</v>
      </c>
    </row>
    <row r="82" spans="1:11">
      <c r="A82" s="52" t="s">
        <v>215</v>
      </c>
      <c r="B82" s="53" t="s">
        <v>549</v>
      </c>
      <c r="C82" s="358"/>
      <c r="D82" s="359"/>
      <c r="E82" s="359"/>
      <c r="F82" s="359"/>
      <c r="G82" s="359"/>
      <c r="H82" s="360"/>
      <c r="I82" s="240" t="str">
        <f>IF(データ抽出!E82="","",データ抽出!E82)</f>
        <v/>
      </c>
      <c r="J82" s="92" t="str">
        <f>IF(データ抽出!F82="","",データ抽出!F82)</f>
        <v/>
      </c>
      <c r="K82" s="63" t="s">
        <v>479</v>
      </c>
    </row>
    <row r="83" spans="1:11">
      <c r="A83" s="69" t="s">
        <v>216</v>
      </c>
      <c r="B83" s="64" t="s">
        <v>560</v>
      </c>
      <c r="C83" s="361"/>
      <c r="D83" s="362"/>
      <c r="E83" s="362"/>
      <c r="F83" s="362"/>
      <c r="G83" s="362"/>
      <c r="H83" s="363"/>
      <c r="I83" s="244" t="str">
        <f>IF(データ抽出!E83="","",データ抽出!E83)</f>
        <v/>
      </c>
      <c r="J83" s="93" t="str">
        <f>IF(データ抽出!F83="","",データ抽出!F83)</f>
        <v/>
      </c>
      <c r="K83" s="114" t="s">
        <v>525</v>
      </c>
    </row>
    <row r="84" spans="1:11">
      <c r="A84" s="70" t="s">
        <v>217</v>
      </c>
      <c r="B84" s="65" t="s">
        <v>550</v>
      </c>
      <c r="C84" s="355"/>
      <c r="D84" s="356"/>
      <c r="E84" s="356"/>
      <c r="F84" s="356"/>
      <c r="G84" s="356"/>
      <c r="H84" s="357"/>
      <c r="I84" s="245" t="str">
        <f>IF(データ抽出!E84="","",データ抽出!E84)</f>
        <v/>
      </c>
      <c r="J84" s="91" t="str">
        <f>IF(データ抽出!F84="","",データ抽出!F84)</f>
        <v/>
      </c>
      <c r="K84" s="113" t="s">
        <v>478</v>
      </c>
    </row>
    <row r="85" spans="1:11">
      <c r="A85" s="52" t="s">
        <v>218</v>
      </c>
      <c r="B85" s="53" t="s">
        <v>551</v>
      </c>
      <c r="C85" s="358"/>
      <c r="D85" s="359"/>
      <c r="E85" s="359"/>
      <c r="F85" s="359"/>
      <c r="G85" s="359"/>
      <c r="H85" s="360"/>
      <c r="I85" s="240" t="str">
        <f>IF(データ抽出!E85="","",データ抽出!E85)</f>
        <v/>
      </c>
      <c r="J85" s="92" t="str">
        <f>IF(データ抽出!F85="","",データ抽出!F85)</f>
        <v/>
      </c>
      <c r="K85" s="63" t="s">
        <v>479</v>
      </c>
    </row>
    <row r="86" spans="1:11">
      <c r="A86" s="71" t="s">
        <v>219</v>
      </c>
      <c r="B86" s="66" t="s">
        <v>561</v>
      </c>
      <c r="C86" s="361"/>
      <c r="D86" s="362"/>
      <c r="E86" s="362"/>
      <c r="F86" s="362"/>
      <c r="G86" s="362"/>
      <c r="H86" s="363"/>
      <c r="I86" s="244" t="str">
        <f>IF(データ抽出!E86="","",データ抽出!E86)</f>
        <v/>
      </c>
      <c r="J86" s="93" t="str">
        <f>IF(データ抽出!F86="","",データ抽出!F86)</f>
        <v/>
      </c>
      <c r="K86" s="114" t="s">
        <v>525</v>
      </c>
    </row>
    <row r="87" spans="1:11">
      <c r="A87" s="72" t="s">
        <v>220</v>
      </c>
      <c r="B87" s="67" t="s">
        <v>552</v>
      </c>
      <c r="C87" s="355"/>
      <c r="D87" s="356"/>
      <c r="E87" s="356"/>
      <c r="F87" s="356"/>
      <c r="G87" s="356"/>
      <c r="H87" s="357"/>
      <c r="I87" s="245" t="str">
        <f>IF(データ抽出!E87="","",データ抽出!E87)</f>
        <v/>
      </c>
      <c r="J87" s="91" t="str">
        <f>IF(データ抽出!F87="","",データ抽出!F87)</f>
        <v/>
      </c>
      <c r="K87" s="113" t="s">
        <v>478</v>
      </c>
    </row>
    <row r="88" spans="1:11">
      <c r="A88" s="52" t="s">
        <v>221</v>
      </c>
      <c r="B88" s="53" t="s">
        <v>553</v>
      </c>
      <c r="C88" s="358"/>
      <c r="D88" s="359"/>
      <c r="E88" s="359"/>
      <c r="F88" s="359"/>
      <c r="G88" s="359"/>
      <c r="H88" s="360"/>
      <c r="I88" s="240" t="str">
        <f>IF(データ抽出!E88="","",データ抽出!E88)</f>
        <v/>
      </c>
      <c r="J88" s="92" t="str">
        <f>IF(データ抽出!F88="","",データ抽出!F88)</f>
        <v/>
      </c>
      <c r="K88" s="63" t="s">
        <v>479</v>
      </c>
    </row>
    <row r="89" spans="1:11">
      <c r="A89" s="69" t="s">
        <v>222</v>
      </c>
      <c r="B89" s="64" t="s">
        <v>562</v>
      </c>
      <c r="C89" s="361"/>
      <c r="D89" s="362"/>
      <c r="E89" s="362"/>
      <c r="F89" s="362"/>
      <c r="G89" s="362"/>
      <c r="H89" s="363"/>
      <c r="I89" s="244" t="str">
        <f>IF(データ抽出!E89="","",データ抽出!E89)</f>
        <v/>
      </c>
      <c r="J89" s="93" t="str">
        <f>IF(データ抽出!F89="","",データ抽出!F89)</f>
        <v/>
      </c>
      <c r="K89" s="114" t="s">
        <v>525</v>
      </c>
    </row>
    <row r="90" spans="1:11">
      <c r="A90" s="70" t="s">
        <v>223</v>
      </c>
      <c r="B90" s="65" t="s">
        <v>554</v>
      </c>
      <c r="C90" s="355"/>
      <c r="D90" s="356"/>
      <c r="E90" s="356"/>
      <c r="F90" s="356"/>
      <c r="G90" s="356"/>
      <c r="H90" s="357"/>
      <c r="I90" s="245" t="str">
        <f>IF(データ抽出!E90="","",データ抽出!E90)</f>
        <v/>
      </c>
      <c r="J90" s="91" t="str">
        <f>IF(データ抽出!F90="","",データ抽出!F90)</f>
        <v/>
      </c>
      <c r="K90" s="113" t="s">
        <v>478</v>
      </c>
    </row>
    <row r="91" spans="1:11">
      <c r="A91" s="52" t="s">
        <v>224</v>
      </c>
      <c r="B91" s="53" t="s">
        <v>555</v>
      </c>
      <c r="C91" s="358"/>
      <c r="D91" s="359"/>
      <c r="E91" s="359"/>
      <c r="F91" s="359"/>
      <c r="G91" s="359"/>
      <c r="H91" s="360"/>
      <c r="I91" s="240" t="str">
        <f>IF(データ抽出!E91="","",データ抽出!E91)</f>
        <v/>
      </c>
      <c r="J91" s="92" t="str">
        <f>IF(データ抽出!F91="","",データ抽出!F91)</f>
        <v/>
      </c>
      <c r="K91" s="63" t="s">
        <v>479</v>
      </c>
    </row>
    <row r="92" spans="1:11">
      <c r="A92" s="71" t="s">
        <v>225</v>
      </c>
      <c r="B92" s="66" t="s">
        <v>563</v>
      </c>
      <c r="C92" s="361"/>
      <c r="D92" s="362"/>
      <c r="E92" s="362"/>
      <c r="F92" s="362"/>
      <c r="G92" s="362"/>
      <c r="H92" s="363"/>
      <c r="I92" s="244" t="str">
        <f>IF(データ抽出!E92="","",データ抽出!E92)</f>
        <v/>
      </c>
      <c r="J92" s="93" t="str">
        <f>IF(データ抽出!F92="","",データ抽出!F92)</f>
        <v/>
      </c>
      <c r="K92" s="114" t="s">
        <v>525</v>
      </c>
    </row>
    <row r="93" spans="1:11" ht="15" customHeight="1">
      <c r="A93" s="72" t="s">
        <v>800</v>
      </c>
      <c r="B93" s="67" t="s">
        <v>556</v>
      </c>
      <c r="C93" s="355"/>
      <c r="D93" s="356"/>
      <c r="E93" s="356"/>
      <c r="F93" s="356"/>
      <c r="G93" s="356"/>
      <c r="H93" s="357"/>
      <c r="I93" s="245" t="str">
        <f>IF(データ抽出!E93="","",データ抽出!E93)</f>
        <v/>
      </c>
      <c r="J93" s="91" t="str">
        <f>IF(データ抽出!F93="","",データ抽出!F93)</f>
        <v/>
      </c>
      <c r="K93" s="113" t="s">
        <v>478</v>
      </c>
    </row>
    <row r="94" spans="1:11" ht="15" customHeight="1">
      <c r="A94" s="52" t="s">
        <v>802</v>
      </c>
      <c r="B94" s="53" t="s">
        <v>557</v>
      </c>
      <c r="C94" s="358"/>
      <c r="D94" s="359"/>
      <c r="E94" s="359"/>
      <c r="F94" s="359"/>
      <c r="G94" s="359"/>
      <c r="H94" s="360"/>
      <c r="I94" s="240" t="str">
        <f>IF(データ抽出!E94="","",データ抽出!E94)</f>
        <v/>
      </c>
      <c r="J94" s="92" t="str">
        <f>IF(データ抽出!F94="","",データ抽出!F94)</f>
        <v/>
      </c>
      <c r="K94" s="63" t="s">
        <v>479</v>
      </c>
    </row>
    <row r="95" spans="1:11" ht="15" customHeight="1" thickBot="1">
      <c r="A95" s="57" t="s">
        <v>804</v>
      </c>
      <c r="B95" s="59" t="s">
        <v>564</v>
      </c>
      <c r="C95" s="339"/>
      <c r="D95" s="340"/>
      <c r="E95" s="340"/>
      <c r="F95" s="340"/>
      <c r="G95" s="340"/>
      <c r="H95" s="341"/>
      <c r="I95" s="244" t="str">
        <f>IF(データ抽出!E95="","",データ抽出!E95)</f>
        <v/>
      </c>
      <c r="J95" s="93" t="str">
        <f>IF(データ抽出!F95="","",データ抽出!F95)</f>
        <v/>
      </c>
      <c r="K95" s="114" t="s">
        <v>525</v>
      </c>
    </row>
    <row r="96" spans="1:11" ht="15" customHeight="1">
      <c r="A96" s="310" t="s">
        <v>438</v>
      </c>
      <c r="B96" s="349" t="s">
        <v>746</v>
      </c>
      <c r="C96" s="350"/>
      <c r="D96" s="350"/>
      <c r="E96" s="350"/>
      <c r="F96" s="350"/>
      <c r="G96" s="350"/>
      <c r="H96" s="350"/>
      <c r="I96" s="350"/>
      <c r="J96" s="350"/>
      <c r="K96" s="351"/>
    </row>
    <row r="97" spans="1:11" ht="15" customHeight="1">
      <c r="A97" s="311"/>
      <c r="B97" s="349" t="s">
        <v>945</v>
      </c>
      <c r="C97" s="350"/>
      <c r="D97" s="350"/>
      <c r="E97" s="350"/>
      <c r="F97" s="350"/>
      <c r="G97" s="350"/>
      <c r="H97" s="350"/>
      <c r="I97" s="350"/>
      <c r="J97" s="350"/>
      <c r="K97" s="351"/>
    </row>
    <row r="98" spans="1:11" ht="30" customHeight="1">
      <c r="A98" s="311"/>
      <c r="B98" s="349"/>
      <c r="C98" s="350"/>
      <c r="D98" s="350"/>
      <c r="E98" s="350"/>
      <c r="F98" s="350"/>
      <c r="G98" s="350"/>
      <c r="H98" s="350"/>
      <c r="I98" s="350"/>
      <c r="J98" s="350"/>
      <c r="K98" s="351"/>
    </row>
    <row r="99" spans="1:11" ht="15" customHeight="1">
      <c r="A99" s="312"/>
      <c r="B99" s="336" t="s">
        <v>777</v>
      </c>
      <c r="C99" s="337"/>
      <c r="D99" s="337"/>
      <c r="E99" s="337"/>
      <c r="F99" s="337"/>
      <c r="G99" s="337"/>
      <c r="H99" s="337"/>
      <c r="I99" s="337"/>
      <c r="J99" s="337"/>
      <c r="K99" s="338"/>
    </row>
    <row r="100" spans="1:11" ht="20.149999999999999" customHeight="1" thickBot="1">
      <c r="A100" s="330" t="s">
        <v>432</v>
      </c>
      <c r="B100" s="331"/>
      <c r="C100" s="332"/>
      <c r="D100" s="332"/>
      <c r="E100" s="332"/>
      <c r="F100" s="332"/>
      <c r="G100" s="332"/>
      <c r="H100" s="332"/>
      <c r="I100" s="331"/>
      <c r="J100" s="331"/>
      <c r="K100" s="333"/>
    </row>
    <row r="101" spans="1:11">
      <c r="A101" s="74" t="s">
        <v>226</v>
      </c>
      <c r="B101" s="75" t="s">
        <v>423</v>
      </c>
      <c r="C101" s="294"/>
      <c r="D101" s="295"/>
      <c r="E101" s="295"/>
      <c r="F101" s="295"/>
      <c r="G101" s="295"/>
      <c r="H101" s="296"/>
      <c r="I101" s="243" t="s">
        <v>876</v>
      </c>
      <c r="J101" s="105" t="str">
        <f>IF(データ抽出!F101="","",データ抽出!F101)</f>
        <v/>
      </c>
      <c r="K101" s="80" t="s">
        <v>479</v>
      </c>
    </row>
    <row r="102" spans="1:11">
      <c r="A102" s="52" t="s">
        <v>227</v>
      </c>
      <c r="B102" s="53" t="s">
        <v>422</v>
      </c>
      <c r="C102" s="315"/>
      <c r="D102" s="316"/>
      <c r="E102" s="316"/>
      <c r="F102" s="316"/>
      <c r="G102" s="316"/>
      <c r="H102" s="317"/>
      <c r="I102" s="240" t="s">
        <v>876</v>
      </c>
      <c r="J102" s="92" t="str">
        <f>IF(データ抽出!F102="","",データ抽出!F102)</f>
        <v/>
      </c>
      <c r="K102" s="63" t="s">
        <v>527</v>
      </c>
    </row>
    <row r="103" spans="1:11">
      <c r="A103" s="52" t="s">
        <v>228</v>
      </c>
      <c r="B103" s="53" t="s">
        <v>408</v>
      </c>
      <c r="C103" s="342"/>
      <c r="D103" s="343"/>
      <c r="E103" s="343"/>
      <c r="F103" s="343"/>
      <c r="G103" s="343"/>
      <c r="H103" s="344"/>
      <c r="I103" s="240" t="s">
        <v>876</v>
      </c>
      <c r="J103" s="92" t="str">
        <f>IF(データ抽出!F103="","",データ抽出!F103)</f>
        <v/>
      </c>
      <c r="K103" s="63" t="s">
        <v>531</v>
      </c>
    </row>
    <row r="104" spans="1:11">
      <c r="A104" s="52" t="s">
        <v>229</v>
      </c>
      <c r="B104" s="53" t="s">
        <v>534</v>
      </c>
      <c r="C104" s="345"/>
      <c r="D104" s="346"/>
      <c r="E104" s="346"/>
      <c r="F104" s="346"/>
      <c r="G104" s="346"/>
      <c r="H104" s="347"/>
      <c r="I104" s="239" t="s">
        <v>876</v>
      </c>
      <c r="J104" s="92" t="str">
        <f>IF(データ抽出!F104="","",データ抽出!F104)</f>
        <v/>
      </c>
      <c r="K104" s="63" t="s">
        <v>521</v>
      </c>
    </row>
    <row r="105" spans="1:11">
      <c r="A105" s="52" t="s">
        <v>230</v>
      </c>
      <c r="B105" s="53" t="s">
        <v>535</v>
      </c>
      <c r="C105" s="348"/>
      <c r="D105" s="316"/>
      <c r="E105" s="316"/>
      <c r="F105" s="316"/>
      <c r="G105" s="316"/>
      <c r="H105" s="317"/>
      <c r="I105" s="240" t="s">
        <v>876</v>
      </c>
      <c r="J105" s="92" t="str">
        <f>IF(データ抽出!F105="","",データ抽出!F105)</f>
        <v/>
      </c>
      <c r="K105" s="63"/>
    </row>
    <row r="106" spans="1:11">
      <c r="A106" s="196" t="str">
        <f>IF(LEFT(C$16,4)="ローカル","",IF(LEFT(C$16,14)="クラウド監視サービスLite","",IF(LEFT(C$16,21)="クラウド区画分譲オプションサービスLite","","6-6")))</f>
        <v>6-6</v>
      </c>
      <c r="B106" s="100" t="str">
        <f>IF(LEFT(C$16,4)="ローカル","",IF(LEFT(C$16,14)="クラウド監視サービスLite","",IF(LEFT(C$16,21)="クラウド区画分譲オプションサービスLite","","保守責任事業者様向け 異常発生・復旧メール通知設定")))</f>
        <v>保守責任事業者様向け 異常発生・復旧メール通知設定</v>
      </c>
      <c r="C106" s="282"/>
      <c r="D106" s="283"/>
      <c r="E106" s="283"/>
      <c r="F106" s="283"/>
      <c r="G106" s="283"/>
      <c r="H106" s="284"/>
      <c r="I106" s="240" t="str">
        <f>IF(データ抽出!E106="","",データ抽出!E106)</f>
        <v/>
      </c>
      <c r="J106" s="92" t="str">
        <f>IF(データ抽出!F106="","",データ抽出!F106)</f>
        <v/>
      </c>
      <c r="K106" s="199" t="str">
        <f>IF(B106="","",IF(C$102="","",IF(C$102="新規登録","リストより選択","保守ポータルアカウントより変更が可能です")))</f>
        <v/>
      </c>
    </row>
    <row r="107" spans="1:11">
      <c r="A107" s="196" t="str">
        <f>IF(LEFT(C$16,4)="ローカル","",IF(LEFT(C$16,14)="クラウド監視サービスLite","",IF(LEFT(C$16,21)="クラウド区画分譲オプションサービスLite","","6-7")))</f>
        <v>6-7</v>
      </c>
      <c r="B107" s="179" t="str">
        <f>IF(LEFT(C$16,4)="ローカル","",IF(LEFT(C$16,14)="クラウド監視サービスLite","",IF(LEFT(C$16,21)="クラウド区画分譲オプションサービスLite","","保守責任事業者様向け 異常対応更新メール通知設定")))</f>
        <v>保守責任事業者様向け 異常対応更新メール通知設定</v>
      </c>
      <c r="C107" s="282"/>
      <c r="D107" s="283"/>
      <c r="E107" s="283"/>
      <c r="F107" s="283"/>
      <c r="G107" s="283"/>
      <c r="H107" s="284"/>
      <c r="I107" s="241" t="str">
        <f>IF(データ抽出!E107="","",データ抽出!E107)</f>
        <v/>
      </c>
      <c r="J107" s="104" t="str">
        <f>IF(データ抽出!F107="","",データ抽出!F107)</f>
        <v/>
      </c>
      <c r="K107" s="212" t="str">
        <f t="shared" ref="K107:K108" si="1">IF(B107="","",IF(C$102="","",IF(C$102="新規登録","リストより選択","保守ポータルアカウントより変更が可能です")))</f>
        <v/>
      </c>
    </row>
    <row r="108" spans="1:11" ht="13.5" thickBot="1">
      <c r="A108" s="196" t="str">
        <f>IF(LEFT(C$16,4)="ローカル","",IF(LEFT(C$16,14)="クラウド監視サービスLite","",IF(LEFT(C$16,21)="クラウド区画分譲オプションサービスLite","","6-8")))</f>
        <v>6-8</v>
      </c>
      <c r="B108" s="180" t="str">
        <f>IF(LEFT(C$16,4)="ローカル","",IF(LEFT(C$16,14)="クラウド監視サービスLite","",IF(LEFT(C$16,21)="クラウド区画分譲オプションサービスLite","","保守責任事業者様向け 月次レポートメール通知設定")))</f>
        <v>保守責任事業者様向け 月次レポートメール通知設定</v>
      </c>
      <c r="C108" s="285"/>
      <c r="D108" s="286"/>
      <c r="E108" s="286"/>
      <c r="F108" s="286"/>
      <c r="G108" s="286"/>
      <c r="H108" s="287"/>
      <c r="I108" s="244" t="str">
        <f>IF(データ抽出!E108="","",データ抽出!E108)</f>
        <v/>
      </c>
      <c r="J108" s="93" t="str">
        <f>IF(データ抽出!F108="","",データ抽出!F108)</f>
        <v/>
      </c>
      <c r="K108" s="202" t="str">
        <f t="shared" si="1"/>
        <v/>
      </c>
    </row>
    <row r="109" spans="1:11" ht="15" customHeight="1">
      <c r="A109" s="108" t="s">
        <v>438</v>
      </c>
      <c r="B109" s="336" t="s">
        <v>536</v>
      </c>
      <c r="C109" s="337"/>
      <c r="D109" s="337"/>
      <c r="E109" s="337"/>
      <c r="F109" s="337"/>
      <c r="G109" s="337"/>
      <c r="H109" s="337"/>
      <c r="I109" s="337"/>
      <c r="J109" s="337"/>
      <c r="K109" s="338"/>
    </row>
    <row r="110" spans="1:11" ht="20.149999999999999" customHeight="1" thickBot="1">
      <c r="A110" s="334" t="s">
        <v>812</v>
      </c>
      <c r="B110" s="332"/>
      <c r="C110" s="332"/>
      <c r="D110" s="332"/>
      <c r="E110" s="332"/>
      <c r="F110" s="332"/>
      <c r="G110" s="332"/>
      <c r="H110" s="332"/>
      <c r="I110" s="332"/>
      <c r="J110" s="332"/>
      <c r="K110" s="335"/>
    </row>
    <row r="111" spans="1:11" ht="45" customHeight="1" thickBot="1">
      <c r="A111" s="252" t="str">
        <f>IF(C16="","7-1",IF(RIGHT(C16,3)="有り）","7-1",IF(RIGHT(C16,4)="プラン）","7-1","")))</f>
        <v>7-1</v>
      </c>
      <c r="B111" s="50" t="str">
        <f>IF(C16="","「異常通知」、「発電量／見守りレポート」送付先
★ベースの監視サービスが、ローカル監視及び
クラウド監視Liteの場合は「異常通知」のみです。",IF(RIGHT(C16,3)="有り）","「異常通知」、「発電量／見守りレポート」送付先
★ベースの監視サービスが、ローカル監視及び
クラウド監視Liteの場合は「異常通知」のみです。",IF(RIGHT(C16,4)="プラン）","「異常通知」、「発電量／見守りレポート」送付先
★ベースの監視サービスが、ローカル監視及び
クラウド監視Liteの場合は「異常通知」のみです。","")))</f>
        <v>「異常通知」、「発電量／見守りレポート」送付先
★ベースの監視サービスが、ローカル監視及び
クラウド監視Liteの場合は「異常通知」のみです。</v>
      </c>
      <c r="C111" s="423"/>
      <c r="D111" s="424"/>
      <c r="E111" s="424"/>
      <c r="F111" s="424"/>
      <c r="G111" s="424"/>
      <c r="H111" s="425"/>
      <c r="I111" s="246" t="str">
        <f>IF(データ抽出!E111="","",データ抽出!E111)</f>
        <v/>
      </c>
      <c r="J111" s="94" t="str">
        <f>IF(データ抽出!F111="","",データ抽出!F111)</f>
        <v/>
      </c>
      <c r="K111" s="204" t="str">
        <f>IF(C16="","リストより選択
★監視代行オプションサービス又は20年アフター
　パックをお申込み済みのお客様が対象です",IF(RIGHT(C16,3)="有り）","リストより選択
★監視代行オプションサービス又は20年アフター
　パックをお申込み済みのお客様が対象です",IF(RIGHT(C16,4)="プラン）","リストより選択
★監視代行オプションサービス又は20年アフター
　パックをお申込み済みのお客様が対象です","")))</f>
        <v>リストより選択
★監視代行オプションサービス又は20年アフター
　パックをお申込み済みのお客様が対象です</v>
      </c>
    </row>
    <row r="112" spans="1:11" ht="20.149999999999999" customHeight="1" thickBot="1">
      <c r="A112" s="330" t="s">
        <v>485</v>
      </c>
      <c r="B112" s="331"/>
      <c r="C112" s="379"/>
      <c r="D112" s="379"/>
      <c r="E112" s="379"/>
      <c r="F112" s="379"/>
      <c r="G112" s="379"/>
      <c r="H112" s="379"/>
      <c r="I112" s="331"/>
      <c r="J112" s="331"/>
      <c r="K112" s="333"/>
    </row>
    <row r="113" spans="1:13">
      <c r="A113" s="74" t="s">
        <v>235</v>
      </c>
      <c r="B113" s="75" t="s">
        <v>469</v>
      </c>
      <c r="C113" s="426"/>
      <c r="D113" s="427"/>
      <c r="E113" s="427"/>
      <c r="F113" s="427"/>
      <c r="G113" s="427"/>
      <c r="H113" s="428"/>
      <c r="I113" s="247" t="s">
        <v>876</v>
      </c>
      <c r="J113" s="105" t="str">
        <f>IF(データ抽出!F113="","",データ抽出!F113)</f>
        <v/>
      </c>
      <c r="K113" s="79"/>
    </row>
    <row r="114" spans="1:13" ht="14">
      <c r="A114" s="52" t="s">
        <v>236</v>
      </c>
      <c r="B114" s="53" t="s">
        <v>15</v>
      </c>
      <c r="C114" s="429"/>
      <c r="D114" s="430"/>
      <c r="E114" s="430"/>
      <c r="F114" s="430"/>
      <c r="G114" s="430"/>
      <c r="H114" s="431"/>
      <c r="I114" s="248" t="s">
        <v>876</v>
      </c>
      <c r="J114" s="92" t="str">
        <f>IF(データ抽出!F114="","",データ抽出!F114)</f>
        <v/>
      </c>
      <c r="K114" s="62"/>
      <c r="M114" s="61" t="s">
        <v>435</v>
      </c>
    </row>
    <row r="115" spans="1:13">
      <c r="A115" s="52" t="s">
        <v>237</v>
      </c>
      <c r="B115" s="53" t="s">
        <v>424</v>
      </c>
      <c r="C115" s="315"/>
      <c r="D115" s="316"/>
      <c r="E115" s="316"/>
      <c r="F115" s="316"/>
      <c r="G115" s="316"/>
      <c r="H115" s="317"/>
      <c r="I115" s="240" t="s">
        <v>876</v>
      </c>
      <c r="J115" s="92" t="str">
        <f>IF(データ抽出!F115="","",データ抽出!F115)</f>
        <v/>
      </c>
      <c r="K115" s="181" t="s">
        <v>818</v>
      </c>
    </row>
    <row r="116" spans="1:13">
      <c r="A116" s="52" t="s">
        <v>238</v>
      </c>
      <c r="B116" s="53" t="s">
        <v>16</v>
      </c>
      <c r="C116" s="315"/>
      <c r="D116" s="316"/>
      <c r="E116" s="316"/>
      <c r="F116" s="316"/>
      <c r="G116" s="316"/>
      <c r="H116" s="317"/>
      <c r="I116" s="240" t="s">
        <v>876</v>
      </c>
      <c r="J116" s="92" t="str">
        <f>IF(データ抽出!F116="","",データ抽出!F116)</f>
        <v/>
      </c>
      <c r="K116" s="181" t="s">
        <v>527</v>
      </c>
    </row>
    <row r="117" spans="1:13">
      <c r="A117" s="52" t="s">
        <v>239</v>
      </c>
      <c r="B117" s="53" t="s">
        <v>817</v>
      </c>
      <c r="C117" s="315"/>
      <c r="D117" s="316"/>
      <c r="E117" s="316"/>
      <c r="F117" s="316"/>
      <c r="G117" s="316"/>
      <c r="H117" s="317"/>
      <c r="I117" s="240" t="s">
        <v>876</v>
      </c>
      <c r="J117" s="92" t="str">
        <f>IF(データ抽出!F117="","",データ抽出!F117)</f>
        <v/>
      </c>
      <c r="K117" s="181" t="s">
        <v>820</v>
      </c>
    </row>
    <row r="118" spans="1:13">
      <c r="A118" s="52" t="s">
        <v>240</v>
      </c>
      <c r="B118" s="53" t="s">
        <v>18</v>
      </c>
      <c r="C118" s="315"/>
      <c r="D118" s="316"/>
      <c r="E118" s="316"/>
      <c r="F118" s="316"/>
      <c r="G118" s="316"/>
      <c r="H118" s="317"/>
      <c r="I118" s="240" t="s">
        <v>876</v>
      </c>
      <c r="J118" s="92" t="str">
        <f>IF(データ抽出!F118="","",データ抽出!F118)</f>
        <v/>
      </c>
      <c r="K118" s="181"/>
    </row>
    <row r="119" spans="1:13">
      <c r="A119" s="52" t="s">
        <v>241</v>
      </c>
      <c r="B119" s="53" t="s">
        <v>19</v>
      </c>
      <c r="C119" s="315"/>
      <c r="D119" s="316"/>
      <c r="E119" s="316"/>
      <c r="F119" s="316"/>
      <c r="G119" s="316"/>
      <c r="H119" s="317"/>
      <c r="I119" s="240" t="s">
        <v>876</v>
      </c>
      <c r="J119" s="92" t="str">
        <f>IF(データ抽出!F119="","",データ抽出!F119)</f>
        <v/>
      </c>
      <c r="K119" s="181"/>
    </row>
    <row r="120" spans="1:13">
      <c r="A120" s="52" t="s">
        <v>242</v>
      </c>
      <c r="B120" s="53" t="s">
        <v>816</v>
      </c>
      <c r="C120" s="315"/>
      <c r="D120" s="316"/>
      <c r="E120" s="316"/>
      <c r="F120" s="316"/>
      <c r="G120" s="316"/>
      <c r="H120" s="317"/>
      <c r="I120" s="240" t="s">
        <v>876</v>
      </c>
      <c r="J120" s="92" t="str">
        <f>IF(データ抽出!F120="","",データ抽出!F120)</f>
        <v/>
      </c>
      <c r="K120" s="181" t="s">
        <v>821</v>
      </c>
    </row>
    <row r="121" spans="1:13">
      <c r="A121" s="52" t="s">
        <v>243</v>
      </c>
      <c r="B121" s="53" t="s">
        <v>537</v>
      </c>
      <c r="C121" s="315"/>
      <c r="D121" s="316"/>
      <c r="E121" s="316"/>
      <c r="F121" s="316"/>
      <c r="G121" s="316"/>
      <c r="H121" s="317"/>
      <c r="I121" s="240" t="s">
        <v>876</v>
      </c>
      <c r="J121" s="92" t="str">
        <f>IF(データ抽出!F121="","",データ抽出!F121)</f>
        <v/>
      </c>
      <c r="K121" s="181" t="s">
        <v>527</v>
      </c>
    </row>
    <row r="122" spans="1:13">
      <c r="A122" s="52" t="s">
        <v>244</v>
      </c>
      <c r="B122" s="53" t="s">
        <v>538</v>
      </c>
      <c r="C122" s="315"/>
      <c r="D122" s="316"/>
      <c r="E122" s="316"/>
      <c r="F122" s="316"/>
      <c r="G122" s="316"/>
      <c r="H122" s="317"/>
      <c r="I122" s="240" t="s">
        <v>876</v>
      </c>
      <c r="J122" s="92" t="str">
        <f>IF(データ抽出!F122="","",データ抽出!F122)</f>
        <v/>
      </c>
      <c r="K122" s="181" t="s">
        <v>527</v>
      </c>
    </row>
    <row r="123" spans="1:13">
      <c r="A123" s="52" t="s">
        <v>245</v>
      </c>
      <c r="B123" s="53" t="s">
        <v>426</v>
      </c>
      <c r="C123" s="315"/>
      <c r="D123" s="316"/>
      <c r="E123" s="316"/>
      <c r="F123" s="316"/>
      <c r="G123" s="316"/>
      <c r="H123" s="317"/>
      <c r="I123" s="240" t="s">
        <v>876</v>
      </c>
      <c r="J123" s="92" t="str">
        <f>IF(データ抽出!F123="","",データ抽出!F123)</f>
        <v/>
      </c>
      <c r="K123" s="181" t="s">
        <v>819</v>
      </c>
    </row>
    <row r="124" spans="1:13" ht="13.5" customHeight="1">
      <c r="A124" s="52" t="s">
        <v>246</v>
      </c>
      <c r="B124" s="53" t="s">
        <v>526</v>
      </c>
      <c r="C124" s="315"/>
      <c r="D124" s="316"/>
      <c r="E124" s="316"/>
      <c r="F124" s="316"/>
      <c r="G124" s="316"/>
      <c r="H124" s="317"/>
      <c r="I124" s="240" t="s">
        <v>876</v>
      </c>
      <c r="J124" s="92" t="str">
        <f>IF(データ抽出!F124="","",データ抽出!F124)</f>
        <v/>
      </c>
      <c r="K124" s="68" t="s">
        <v>784</v>
      </c>
    </row>
    <row r="125" spans="1:13">
      <c r="A125" s="209" t="str">
        <f>IF(C124="無し","","8-13")</f>
        <v>8-13</v>
      </c>
      <c r="B125" s="64" t="str">
        <f>IF(C124="無し","","日射計設置PCS　通信IDNo")</f>
        <v>日射計設置PCS　通信IDNo</v>
      </c>
      <c r="C125" s="318"/>
      <c r="D125" s="319"/>
      <c r="E125" s="319"/>
      <c r="F125" s="319"/>
      <c r="G125" s="319"/>
      <c r="H125" s="320"/>
      <c r="I125" s="241" t="str">
        <f>IF(データ抽出!E125="","",データ抽出!E125)</f>
        <v/>
      </c>
      <c r="J125" s="104" t="str">
        <f>IF(データ抽出!F125="","",データ抽出!F125)</f>
        <v/>
      </c>
      <c r="K125" s="206" t="str">
        <f>IF(C124="無し","","8-12項が「有り」の場合記入ください")</f>
        <v>8-12項が「有り」の場合記入ください</v>
      </c>
    </row>
    <row r="126" spans="1:13">
      <c r="A126" s="210" t="str">
        <f>IF(LEFT(C16,4)="ローカル","","8-14")</f>
        <v>8-14</v>
      </c>
      <c r="B126" s="65" t="str">
        <f>IF(LEFT(C16,4)="ローカル","","発電停止　通知設定　　　　　　　　　　　　　　 ※１０")</f>
        <v>発電停止　通知設定　　　　　　　　　　　　　　 ※１０</v>
      </c>
      <c r="C126" s="321"/>
      <c r="D126" s="322"/>
      <c r="E126" s="322"/>
      <c r="F126" s="322"/>
      <c r="G126" s="322"/>
      <c r="H126" s="323"/>
      <c r="I126" s="245" t="str">
        <f>IF(データ抽出!E126="","",データ抽出!E126)</f>
        <v/>
      </c>
      <c r="J126" s="91"/>
      <c r="K126" s="432" t="str">
        <f>IF(LEFT(C16,4)="ローカル","","ローカル監視サービスは対象外です
　＊リストより選択後、任意値を希望の場合は
　　 1～100％まで 1％単位の値を入力願います
　＊PCSが2台以上の場合、同じ閾値となります")</f>
        <v>ローカル監視サービスは対象外です
　＊リストより選択後、任意値を希望の場合は
　　 1～100％まで 1％単位の値を入力願います
　＊PCSが2台以上の場合、同じ閾値となります</v>
      </c>
    </row>
    <row r="127" spans="1:13" ht="13.5" customHeight="1">
      <c r="A127" s="196" t="str">
        <f>IF(LEFT(C16,4)="ローカル","","8-15")</f>
        <v>8-15</v>
      </c>
      <c r="B127" s="53" t="str">
        <f>IF(LEFT(C16,4)="ローカル","","PCS発電量低下(日)　検知閾値（単位：％）　※１１")</f>
        <v>PCS発電量低下(日)　検知閾値（単位：％）　※１１</v>
      </c>
      <c r="C127" s="282"/>
      <c r="D127" s="283"/>
      <c r="E127" s="283"/>
      <c r="F127" s="283"/>
      <c r="G127" s="283"/>
      <c r="H127" s="205"/>
      <c r="I127" s="240" t="str">
        <f>IF(データ抽出!E127="","",データ抽出!E127)</f>
        <v/>
      </c>
      <c r="J127" s="92" t="str">
        <f>IF(データ抽出!F126="","",データ抽出!F126)</f>
        <v/>
      </c>
      <c r="K127" s="433"/>
    </row>
    <row r="128" spans="1:13" ht="13.5" customHeight="1">
      <c r="A128" s="196" t="str">
        <f>IF(LEFT(C16,4)="ローカル","","8-16")</f>
        <v>8-16</v>
      </c>
      <c r="B128" s="53" t="str">
        <f>IF(LEFT(C16,4)="ローカル","","PCS発電量低下(月)　検知閾値（単位：％）　※１２")</f>
        <v>PCS発電量低下(月)　検知閾値（単位：％）　※１２</v>
      </c>
      <c r="C128" s="282"/>
      <c r="D128" s="283"/>
      <c r="E128" s="283"/>
      <c r="F128" s="283"/>
      <c r="G128" s="283"/>
      <c r="H128" s="205"/>
      <c r="I128" s="240" t="str">
        <f>IF(データ抽出!E128="","",データ抽出!E128)</f>
        <v/>
      </c>
      <c r="J128" s="92" t="str">
        <f>IF(データ抽出!F127="","",データ抽出!F127)</f>
        <v/>
      </c>
      <c r="K128" s="433"/>
    </row>
    <row r="129" spans="1:11" ht="13.5" customHeight="1">
      <c r="A129" s="196" t="str">
        <f>IF(LEFT(C16,4)="ローカル","","8-17")</f>
        <v>8-17</v>
      </c>
      <c r="B129" s="53" t="str">
        <f>IF(LEFT(C16,4)="ローカル","","PCS間乖離(日)　検知閾値（単位：％）　　　　※１３")</f>
        <v>PCS間乖離(日)　検知閾値（単位：％）　　　　※１３</v>
      </c>
      <c r="C129" s="282"/>
      <c r="D129" s="283"/>
      <c r="E129" s="283"/>
      <c r="F129" s="283"/>
      <c r="G129" s="283"/>
      <c r="H129" s="205"/>
      <c r="I129" s="240" t="str">
        <f>IF(データ抽出!E129="","",データ抽出!E129)</f>
        <v/>
      </c>
      <c r="J129" s="92" t="str">
        <f>IF(データ抽出!F129="","",データ抽出!F129)</f>
        <v/>
      </c>
      <c r="K129" s="433"/>
    </row>
    <row r="130" spans="1:11" ht="13.5" customHeight="1">
      <c r="A130" s="198" t="str">
        <f>IF(LEFT(C16,4)="ローカル","","8-18")</f>
        <v>8-18</v>
      </c>
      <c r="B130" s="66" t="str">
        <f>IF(LEFT(C16,4)="ローカル","","PCS間乖離(月)　検知閾値（単位：％）　　　　※１４")</f>
        <v>PCS間乖離(月)　検知閾値（単位：％）　　　　※１４</v>
      </c>
      <c r="C130" s="364"/>
      <c r="D130" s="365"/>
      <c r="E130" s="365"/>
      <c r="F130" s="365"/>
      <c r="G130" s="365"/>
      <c r="H130" s="208"/>
      <c r="I130" s="244" t="str">
        <f>IF(データ抽出!E130="","",データ抽出!E130)</f>
        <v/>
      </c>
      <c r="J130" s="93" t="str">
        <f>IF(データ抽出!F130="","",データ抽出!F130)</f>
        <v/>
      </c>
      <c r="K130" s="434"/>
    </row>
    <row r="131" spans="1:11">
      <c r="A131" s="72" t="s">
        <v>253</v>
      </c>
      <c r="B131" s="67" t="s">
        <v>428</v>
      </c>
      <c r="C131" s="324"/>
      <c r="D131" s="325"/>
      <c r="E131" s="325"/>
      <c r="F131" s="325"/>
      <c r="G131" s="325"/>
      <c r="H131" s="326"/>
      <c r="I131" s="243" t="s">
        <v>876</v>
      </c>
      <c r="J131" s="105" t="str">
        <f>IF(データ抽出!F131="","",データ抽出!F131)</f>
        <v/>
      </c>
      <c r="K131" s="207" t="s">
        <v>527</v>
      </c>
    </row>
    <row r="132" spans="1:11">
      <c r="A132" s="196" t="str">
        <f>IF(C131="無し","","8-20")</f>
        <v>8-20</v>
      </c>
      <c r="B132" s="53" t="str">
        <f>IF(C131="無し","","発電所ＩＤ　※１５")</f>
        <v>発電所ＩＤ　※１５</v>
      </c>
      <c r="C132" s="327"/>
      <c r="D132" s="328"/>
      <c r="E132" s="328"/>
      <c r="F132" s="328"/>
      <c r="G132" s="328"/>
      <c r="H132" s="329"/>
      <c r="I132" s="239" t="str">
        <f>IF(データ抽出!E132="","",データ抽出!E132)</f>
        <v/>
      </c>
      <c r="J132" s="92" t="str">
        <f>IF(データ抽出!F132="","",データ抽出!F132)</f>
        <v/>
      </c>
      <c r="K132" s="200" t="str">
        <f>IF(C131="無し","","8-19項が「有り」なら必須　半角数値２６桁")</f>
        <v>8-19項が「有り」なら必須　半角数値２６桁</v>
      </c>
    </row>
    <row r="133" spans="1:11">
      <c r="A133" s="209" t="str">
        <f>IF(C131="無し","","8-21")</f>
        <v>8-21</v>
      </c>
      <c r="B133" s="64" t="str">
        <f>IF(C131="無し","","変化レート（出力変化時間　単位：min）")</f>
        <v>変化レート（出力変化時間　単位：min）</v>
      </c>
      <c r="C133" s="435"/>
      <c r="D133" s="436"/>
      <c r="E133" s="436"/>
      <c r="F133" s="436"/>
      <c r="G133" s="436"/>
      <c r="H133" s="437"/>
      <c r="I133" s="241" t="str">
        <f>IF(データ抽出!E133="","",データ抽出!E133)</f>
        <v/>
      </c>
      <c r="J133" s="104" t="str">
        <f>IF(データ抽出!F133="","",データ抽出!F133)</f>
        <v/>
      </c>
      <c r="K133" s="112" t="str">
        <f>IF(C131="無し","","8-19項が「有り」なら必須　リストより選択")</f>
        <v>8-19項が「有り」なら必須　リストより選択</v>
      </c>
    </row>
    <row r="134" spans="1:11">
      <c r="A134" s="70" t="s">
        <v>256</v>
      </c>
      <c r="B134" s="65" t="s">
        <v>565</v>
      </c>
      <c r="C134" s="438"/>
      <c r="D134" s="439"/>
      <c r="E134" s="439"/>
      <c r="F134" s="439"/>
      <c r="G134" s="439"/>
      <c r="H134" s="440"/>
      <c r="I134" s="245" t="s">
        <v>876</v>
      </c>
      <c r="J134" s="91" t="str">
        <f>IF(データ抽出!F134="","",データ抽出!F134)</f>
        <v/>
      </c>
      <c r="K134" s="113" t="s">
        <v>528</v>
      </c>
    </row>
    <row r="135" spans="1:11">
      <c r="A135" s="52" t="s">
        <v>257</v>
      </c>
      <c r="B135" s="53" t="s">
        <v>566</v>
      </c>
      <c r="C135" s="358"/>
      <c r="D135" s="359"/>
      <c r="E135" s="359"/>
      <c r="F135" s="359"/>
      <c r="G135" s="359"/>
      <c r="H135" s="360"/>
      <c r="I135" s="253" t="s">
        <v>944</v>
      </c>
      <c r="J135" s="92" t="str">
        <f>IF(データ抽出!F135="","",データ抽出!F135)</f>
        <v/>
      </c>
      <c r="K135" s="63" t="s">
        <v>884</v>
      </c>
    </row>
    <row r="136" spans="1:11">
      <c r="A136" s="52" t="s">
        <v>258</v>
      </c>
      <c r="B136" s="53" t="s">
        <v>875</v>
      </c>
      <c r="C136" s="225" t="s">
        <v>867</v>
      </c>
      <c r="D136" s="217"/>
      <c r="E136" s="226" t="s">
        <v>869</v>
      </c>
      <c r="F136" s="216"/>
      <c r="G136" s="226" t="s">
        <v>868</v>
      </c>
      <c r="H136" s="216"/>
      <c r="I136" s="454" t="str">
        <f>IF(データ抽出!E136="","",データ抽出!E136)</f>
        <v>必須／任意</v>
      </c>
      <c r="J136" s="455"/>
      <c r="K136" s="63" t="s">
        <v>931</v>
      </c>
    </row>
    <row r="137" spans="1:11">
      <c r="A137" s="52" t="s">
        <v>259</v>
      </c>
      <c r="B137" s="101" t="s">
        <v>847</v>
      </c>
      <c r="C137" s="441">
        <v>1</v>
      </c>
      <c r="D137" s="442"/>
      <c r="E137" s="442"/>
      <c r="F137" s="442"/>
      <c r="G137" s="442"/>
      <c r="H137" s="443"/>
      <c r="I137" s="240" t="str">
        <f>IF(データ抽出!E137="","",データ抽出!E137)</f>
        <v/>
      </c>
      <c r="J137" s="92" t="str">
        <f>IF(データ抽出!F137="","",データ抽出!F137)</f>
        <v/>
      </c>
      <c r="K137" s="63" t="s">
        <v>874</v>
      </c>
    </row>
    <row r="138" spans="1:11">
      <c r="A138" s="198" t="str">
        <f>IF(C$131="無し","","8-26")</f>
        <v>8-26</v>
      </c>
      <c r="B138" s="66" t="str">
        <f>IF(C$131="無し","","通信ID 1　PCS毎の出力制御設定　※１８")</f>
        <v>通信ID 1　PCS毎の出力制御設定　※１８</v>
      </c>
      <c r="C138" s="291"/>
      <c r="D138" s="292"/>
      <c r="E138" s="292"/>
      <c r="F138" s="292"/>
      <c r="G138" s="292"/>
      <c r="H138" s="293"/>
      <c r="I138" s="244" t="str">
        <f>IF(データ抽出!E138="","",データ抽出!E138)</f>
        <v/>
      </c>
      <c r="J138" s="93" t="str">
        <f>IF(データ抽出!F138="","",データ抽出!F138)</f>
        <v/>
      </c>
      <c r="K138" s="114" t="str">
        <f>IF(A138="","","リストより選択")</f>
        <v>リストより選択</v>
      </c>
    </row>
    <row r="139" spans="1:11">
      <c r="A139" s="197" t="str">
        <f>IF(C$123&lt;2,"","8-27")</f>
        <v/>
      </c>
      <c r="B139" s="67" t="str">
        <f>IF(C$123&lt;2,"","通信ID 2　PCS型名")</f>
        <v/>
      </c>
      <c r="C139" s="288"/>
      <c r="D139" s="289"/>
      <c r="E139" s="289"/>
      <c r="F139" s="289"/>
      <c r="G139" s="289"/>
      <c r="H139" s="290"/>
      <c r="I139" s="245" t="str">
        <f>IF(B139="","",IF(データ抽出!E139="","",データ抽出!E139))</f>
        <v/>
      </c>
      <c r="J139" s="91" t="str">
        <f>IF(データ抽出!F139="","",データ抽出!F139)</f>
        <v/>
      </c>
      <c r="K139" s="113" t="str">
        <f>IF(A139="","","リストより選択　オプション部分の型名は問いません")</f>
        <v/>
      </c>
    </row>
    <row r="140" spans="1:11">
      <c r="A140" s="196" t="str">
        <f>IF(C$123&lt;2,"","8-28")</f>
        <v/>
      </c>
      <c r="B140" s="53" t="str">
        <f>IF(C$123&lt;2,"","通信ID 2　PCS製造番号")</f>
        <v/>
      </c>
      <c r="C140" s="282"/>
      <c r="D140" s="283"/>
      <c r="E140" s="283"/>
      <c r="F140" s="283"/>
      <c r="G140" s="283"/>
      <c r="H140" s="284"/>
      <c r="I140" s="253" t="str">
        <f>IF(B140="","",IF(データ抽出!E140="","",データ抽出!E140))</f>
        <v/>
      </c>
      <c r="J140" s="92" t="str">
        <f>IF(データ抽出!F140="","",データ抽出!F140)</f>
        <v/>
      </c>
      <c r="K140" s="63" t="str">
        <f>IF(A140="","","設置前等で不明な場合を除き、登録願います")</f>
        <v/>
      </c>
    </row>
    <row r="141" spans="1:11">
      <c r="A141" s="196" t="str">
        <f>IF(C$123&lt;2,"","8-29")</f>
        <v/>
      </c>
      <c r="B141" s="53" t="str">
        <f>IF(C$123&lt;2,"","通信ID 2　接続パネル合計枚数、直・並列枚数")</f>
        <v/>
      </c>
      <c r="C141" s="225" t="str">
        <f t="shared" ref="C141" si="2">IF($B141="","","合計枚数：")</f>
        <v/>
      </c>
      <c r="D141" s="215"/>
      <c r="E141" s="226" t="str">
        <f t="shared" ref="E141" si="3">IF($B141="","","直列枚数：")</f>
        <v/>
      </c>
      <c r="F141" s="215"/>
      <c r="G141" s="226" t="str">
        <f t="shared" ref="G141" si="4">IF($B141="","","並列枚数：")</f>
        <v/>
      </c>
      <c r="H141" s="215"/>
      <c r="I141" s="454" t="str">
        <f>IF(B141="","",IF(データ抽出!E141="","",データ抽出!E141))</f>
        <v/>
      </c>
      <c r="J141" s="455"/>
      <c r="K141" s="63" t="str">
        <f>IF(A141="","","必須以外の場合も、より正確な監視のために登録をお勧めします")</f>
        <v/>
      </c>
    </row>
    <row r="142" spans="1:11">
      <c r="A142" s="196" t="str">
        <f>IF(C$123&lt;2,"","8-30")</f>
        <v/>
      </c>
      <c r="B142" s="53" t="str">
        <f>IF(C$123&lt;2,"","通信ID 2　発電所区画No　※１７")</f>
        <v/>
      </c>
      <c r="C142" s="282"/>
      <c r="D142" s="283"/>
      <c r="E142" s="283"/>
      <c r="F142" s="283"/>
      <c r="G142" s="283"/>
      <c r="H142" s="284"/>
      <c r="I142" s="240" t="str">
        <f>IF(B142="","",IF(データ抽出!E142="","",データ抽出!E142))</f>
        <v/>
      </c>
      <c r="J142" s="92" t="str">
        <f>IF(C142="","",IF(データ抽出!F142="","",データ抽出!F142))</f>
        <v/>
      </c>
      <c r="K142" s="63" t="str">
        <f>IF(A142="","","5項［発電所情報］の区画番号（1～8）を記入ください")</f>
        <v/>
      </c>
    </row>
    <row r="143" spans="1:11">
      <c r="A143" s="209" t="str">
        <f>IF(C$123&lt;2,"",IF(C$131="無し","","8-31"))</f>
        <v/>
      </c>
      <c r="B143" s="64" t="str">
        <f>IF(C$123&lt;2,"",IF(C$131="無し","","通信ID 2　PCS毎の出力制御設定　※１８"))</f>
        <v/>
      </c>
      <c r="C143" s="291"/>
      <c r="D143" s="292"/>
      <c r="E143" s="292"/>
      <c r="F143" s="292"/>
      <c r="G143" s="292"/>
      <c r="H143" s="293"/>
      <c r="I143" s="244" t="str">
        <f>IF(B143="","",IF(データ抽出!E143="","",データ抽出!E143))</f>
        <v/>
      </c>
      <c r="J143" s="93" t="str">
        <f>IF(データ抽出!F143="","",データ抽出!F143)</f>
        <v/>
      </c>
      <c r="K143" s="114" t="str">
        <f>IF(A143="","","リストより選択")</f>
        <v/>
      </c>
    </row>
    <row r="144" spans="1:11">
      <c r="A144" s="210" t="str">
        <f>IF(C$123&lt;3,"","8-32")</f>
        <v/>
      </c>
      <c r="B144" s="65" t="str">
        <f>IF(C$123&lt;3,"","通信ID 3　PCS型名")</f>
        <v/>
      </c>
      <c r="C144" s="288"/>
      <c r="D144" s="289"/>
      <c r="E144" s="289"/>
      <c r="F144" s="289"/>
      <c r="G144" s="289"/>
      <c r="H144" s="290"/>
      <c r="I144" s="245" t="str">
        <f>IF(B144="","",IF(データ抽出!E144="","",データ抽出!E144))</f>
        <v/>
      </c>
      <c r="J144" s="91" t="str">
        <f>IF(データ抽出!F144="","",データ抽出!F144)</f>
        <v/>
      </c>
      <c r="K144" s="113" t="str">
        <f>IF(A144="","","リストより選択　オプション部分の型名は問いません")</f>
        <v/>
      </c>
    </row>
    <row r="145" spans="1:11">
      <c r="A145" s="196" t="str">
        <f>IF(C$123&lt;3,"","8-33")</f>
        <v/>
      </c>
      <c r="B145" s="53" t="str">
        <f>IF(C$123&lt;3,"","通信ID 3　PCS製造番号")</f>
        <v/>
      </c>
      <c r="C145" s="282"/>
      <c r="D145" s="283"/>
      <c r="E145" s="283"/>
      <c r="F145" s="283"/>
      <c r="G145" s="283"/>
      <c r="H145" s="284"/>
      <c r="I145" s="253" t="str">
        <f>IF(B145="","",IF(データ抽出!E145="","",データ抽出!E145))</f>
        <v/>
      </c>
      <c r="J145" s="92" t="str">
        <f>IF(データ抽出!F145="","",データ抽出!F145)</f>
        <v/>
      </c>
      <c r="K145" s="63" t="str">
        <f>IF(A145="","","設置前等で不明な場合を除き、登録願います")</f>
        <v/>
      </c>
    </row>
    <row r="146" spans="1:11">
      <c r="A146" s="196" t="str">
        <f>IF(C$123&lt;3,"","8-34")</f>
        <v/>
      </c>
      <c r="B146" s="53" t="str">
        <f>IF(C$123&lt;3,"","通信ID 3　接続パネル合計枚数、直・並列枚数")</f>
        <v/>
      </c>
      <c r="C146" s="225" t="str">
        <f t="shared" ref="C146" si="5">IF($B146="","","合計枚数：")</f>
        <v/>
      </c>
      <c r="D146" s="215"/>
      <c r="E146" s="226" t="str">
        <f t="shared" ref="E146" si="6">IF($B146="","","直列枚数：")</f>
        <v/>
      </c>
      <c r="F146" s="215"/>
      <c r="G146" s="226" t="str">
        <f t="shared" ref="G146" si="7">IF($B146="","","並列枚数：")</f>
        <v/>
      </c>
      <c r="H146" s="215"/>
      <c r="I146" s="454" t="str">
        <f>IF(B146="","",IF(データ抽出!E146="","",データ抽出!E146))</f>
        <v/>
      </c>
      <c r="J146" s="455"/>
      <c r="K146" s="63" t="str">
        <f>IF(A146="","","必須以外の場合も、より正確な監視のために登録をお勧めします")</f>
        <v/>
      </c>
    </row>
    <row r="147" spans="1:11">
      <c r="A147" s="196" t="str">
        <f>IF(C$123&lt;3,"","8-35")</f>
        <v/>
      </c>
      <c r="B147" s="53" t="str">
        <f>IF(C$123&lt;3,"","通信ID 3　発電所区画No　※１７")</f>
        <v/>
      </c>
      <c r="C147" s="282"/>
      <c r="D147" s="283"/>
      <c r="E147" s="283"/>
      <c r="F147" s="283"/>
      <c r="G147" s="283"/>
      <c r="H147" s="284"/>
      <c r="I147" s="240" t="str">
        <f>IF(B147="","",IF(データ抽出!E147="","",データ抽出!E147))</f>
        <v/>
      </c>
      <c r="J147" s="92" t="str">
        <f>IF(C147="","",IF(データ抽出!F147="","",データ抽出!F147))</f>
        <v/>
      </c>
      <c r="K147" s="63" t="str">
        <f>IF(A147="","","5項［発電所情報］の区画番号（1～8）を記入ください")</f>
        <v/>
      </c>
    </row>
    <row r="148" spans="1:11">
      <c r="A148" s="198" t="str">
        <f>IF(C$123&lt;3,"",IF(C$131="無し","","8-36"))</f>
        <v/>
      </c>
      <c r="B148" s="66" t="str">
        <f>IF(C$123&lt;3,"",IF(C$131="無し","","通信ID 3　PCS毎の出力制御設定　※１８"))</f>
        <v/>
      </c>
      <c r="C148" s="291"/>
      <c r="D148" s="292"/>
      <c r="E148" s="292"/>
      <c r="F148" s="292"/>
      <c r="G148" s="292"/>
      <c r="H148" s="293"/>
      <c r="I148" s="244" t="str">
        <f>IF(B148="","",IF(データ抽出!E148="","",データ抽出!E148))</f>
        <v/>
      </c>
      <c r="J148" s="93" t="str">
        <f>IF(データ抽出!F148="","",データ抽出!F148)</f>
        <v/>
      </c>
      <c r="K148" s="114" t="str">
        <f>IF(A148="","","リストより選択")</f>
        <v/>
      </c>
    </row>
    <row r="149" spans="1:11">
      <c r="A149" s="197" t="str">
        <f>IF(C$123&lt;4,"","8-37")</f>
        <v/>
      </c>
      <c r="B149" s="67" t="str">
        <f>IF(C$123&lt;4,"","通信ID 4　PCS型名")</f>
        <v/>
      </c>
      <c r="C149" s="288"/>
      <c r="D149" s="289"/>
      <c r="E149" s="289"/>
      <c r="F149" s="289"/>
      <c r="G149" s="289"/>
      <c r="H149" s="290"/>
      <c r="I149" s="245" t="str">
        <f>IF(B149="","",IF(データ抽出!E149="","",データ抽出!E149))</f>
        <v/>
      </c>
      <c r="J149" s="91" t="str">
        <f>IF(データ抽出!F149="","",データ抽出!F149)</f>
        <v/>
      </c>
      <c r="K149" s="113" t="str">
        <f>IF(A149="","","リストより選択　オプション部分の型名は問いません")</f>
        <v/>
      </c>
    </row>
    <row r="150" spans="1:11">
      <c r="A150" s="196" t="str">
        <f>IF(C$123&lt;4,"","8-38")</f>
        <v/>
      </c>
      <c r="B150" s="53" t="str">
        <f>IF(C$123&lt;4,"","通信ID 4　PCS製造番号")</f>
        <v/>
      </c>
      <c r="C150" s="282"/>
      <c r="D150" s="283"/>
      <c r="E150" s="283"/>
      <c r="F150" s="283"/>
      <c r="G150" s="283"/>
      <c r="H150" s="284"/>
      <c r="I150" s="253" t="str">
        <f>IF(B150="","",IF(データ抽出!E150="","",データ抽出!E150))</f>
        <v/>
      </c>
      <c r="J150" s="92" t="str">
        <f>IF(データ抽出!F150="","",データ抽出!F150)</f>
        <v/>
      </c>
      <c r="K150" s="63" t="str">
        <f>IF(A150="","","設置前等で不明な場合を除き、登録願います")</f>
        <v/>
      </c>
    </row>
    <row r="151" spans="1:11">
      <c r="A151" s="196" t="str">
        <f>IF(C$123&lt;4,"","8-39")</f>
        <v/>
      </c>
      <c r="B151" s="53" t="str">
        <f>IF(C$123&lt;4,"","通信ID 4　接続パネル合計枚数、直・並列枚数")</f>
        <v/>
      </c>
      <c r="C151" s="225" t="str">
        <f t="shared" ref="C151:C211" si="8">IF($B151="","","合計枚数：")</f>
        <v/>
      </c>
      <c r="D151" s="215"/>
      <c r="E151" s="226" t="str">
        <f t="shared" ref="E151:E211" si="9">IF($B151="","","直列枚数：")</f>
        <v/>
      </c>
      <c r="F151" s="215"/>
      <c r="G151" s="226" t="str">
        <f t="shared" ref="G151:G211" si="10">IF($B151="","","並列枚数：")</f>
        <v/>
      </c>
      <c r="H151" s="215"/>
      <c r="I151" s="454" t="str">
        <f>IF(B151="","",IF(データ抽出!E151="","",データ抽出!E151))</f>
        <v/>
      </c>
      <c r="J151" s="455"/>
      <c r="K151" s="63" t="str">
        <f>IF(A151="","","必須以外の場合も、より正確な監視のために登録をお勧めします")</f>
        <v/>
      </c>
    </row>
    <row r="152" spans="1:11">
      <c r="A152" s="196" t="str">
        <f>IF(C$123&lt;4,"","8-40")</f>
        <v/>
      </c>
      <c r="B152" s="53" t="str">
        <f>IF(C$123&lt;4,"","通信ID 4　発電所区画No　※１７")</f>
        <v/>
      </c>
      <c r="C152" s="282"/>
      <c r="D152" s="283"/>
      <c r="E152" s="283"/>
      <c r="F152" s="283"/>
      <c r="G152" s="283"/>
      <c r="H152" s="284"/>
      <c r="I152" s="240" t="str">
        <f>IF(B152="","",IF(データ抽出!E152="","",データ抽出!E152))</f>
        <v/>
      </c>
      <c r="J152" s="92" t="str">
        <f>IF(C152="","",IF(データ抽出!F152="","",データ抽出!F152))</f>
        <v/>
      </c>
      <c r="K152" s="63" t="str">
        <f>IF(A152="","","5項［発電所情報］の区画番号（1～8）を記入ください")</f>
        <v/>
      </c>
    </row>
    <row r="153" spans="1:11">
      <c r="A153" s="209" t="str">
        <f>IF(C$123&lt;4,"",IF(C$131="無し","","8-41"))</f>
        <v/>
      </c>
      <c r="B153" s="64" t="str">
        <f>IF(C$123&lt;4,"",IF(C$131="無し","","通信ID 4　PCS毎の出力制御設定　※１８"))</f>
        <v/>
      </c>
      <c r="C153" s="291"/>
      <c r="D153" s="292"/>
      <c r="E153" s="292"/>
      <c r="F153" s="292"/>
      <c r="G153" s="292"/>
      <c r="H153" s="293"/>
      <c r="I153" s="244" t="str">
        <f>IF(B153="","",IF(データ抽出!E153="","",データ抽出!E153))</f>
        <v/>
      </c>
      <c r="J153" s="93" t="str">
        <f>IF(データ抽出!F153="","",データ抽出!F153)</f>
        <v/>
      </c>
      <c r="K153" s="114" t="str">
        <f>IF(A153="","","リストより選択")</f>
        <v/>
      </c>
    </row>
    <row r="154" spans="1:11">
      <c r="A154" s="210" t="str">
        <f>IF(C$123&lt;5,"","8-42")</f>
        <v/>
      </c>
      <c r="B154" s="65" t="str">
        <f>IF(C$123&lt;5,"","通信ID 5　PCS型名")</f>
        <v/>
      </c>
      <c r="C154" s="288"/>
      <c r="D154" s="289"/>
      <c r="E154" s="289"/>
      <c r="F154" s="289"/>
      <c r="G154" s="289"/>
      <c r="H154" s="290"/>
      <c r="I154" s="245" t="str">
        <f>IF(B154="","",IF(データ抽出!E154="","",データ抽出!E154))</f>
        <v/>
      </c>
      <c r="J154" s="91" t="str">
        <f>IF(データ抽出!F154="","",データ抽出!F154)</f>
        <v/>
      </c>
      <c r="K154" s="113" t="str">
        <f>IF(A154="","","リストより選択　オプション部分の型名は問いません")</f>
        <v/>
      </c>
    </row>
    <row r="155" spans="1:11">
      <c r="A155" s="196" t="str">
        <f>IF(C$123&lt;5,"","8-43")</f>
        <v/>
      </c>
      <c r="B155" s="53" t="str">
        <f>IF(C$123&lt;5,"","通信ID 5　PCS製造番号")</f>
        <v/>
      </c>
      <c r="C155" s="282"/>
      <c r="D155" s="283"/>
      <c r="E155" s="283"/>
      <c r="F155" s="283"/>
      <c r="G155" s="283"/>
      <c r="H155" s="284"/>
      <c r="I155" s="253" t="str">
        <f>IF(B155="","",IF(データ抽出!E155="","",データ抽出!E155))</f>
        <v/>
      </c>
      <c r="J155" s="92" t="str">
        <f>IF(データ抽出!F155="","",データ抽出!F155)</f>
        <v/>
      </c>
      <c r="K155" s="63" t="str">
        <f>IF(A155="","","設置前等で不明な場合を除き、登録願います")</f>
        <v/>
      </c>
    </row>
    <row r="156" spans="1:11">
      <c r="A156" s="196" t="str">
        <f>IF(C$123&lt;5,"","8-44")</f>
        <v/>
      </c>
      <c r="B156" s="53" t="str">
        <f>IF(C$123&lt;5,"","通信ID 5　接続パネル合計枚数、直・並列枚数")</f>
        <v/>
      </c>
      <c r="C156" s="225" t="str">
        <f t="shared" si="8"/>
        <v/>
      </c>
      <c r="D156" s="215"/>
      <c r="E156" s="226" t="str">
        <f t="shared" si="9"/>
        <v/>
      </c>
      <c r="F156" s="215"/>
      <c r="G156" s="226" t="str">
        <f t="shared" si="10"/>
        <v/>
      </c>
      <c r="H156" s="215"/>
      <c r="I156" s="454" t="str">
        <f>IF(B156="","",IF(データ抽出!E156="","",データ抽出!E156))</f>
        <v/>
      </c>
      <c r="J156" s="455"/>
      <c r="K156" s="63" t="str">
        <f>IF(A156="","","必須以外の場合も、より正確な監視のために登録をお勧めします")</f>
        <v/>
      </c>
    </row>
    <row r="157" spans="1:11">
      <c r="A157" s="196" t="str">
        <f>IF(C$123&lt;5,"","8-45")</f>
        <v/>
      </c>
      <c r="B157" s="53" t="str">
        <f>IF(C$123&lt;5,"","通信ID 5　発電所区画No　※１７")</f>
        <v/>
      </c>
      <c r="C157" s="282"/>
      <c r="D157" s="283"/>
      <c r="E157" s="283"/>
      <c r="F157" s="283"/>
      <c r="G157" s="283"/>
      <c r="H157" s="284"/>
      <c r="I157" s="240" t="str">
        <f>IF(B157="","",IF(データ抽出!E157="","",データ抽出!E157))</f>
        <v/>
      </c>
      <c r="J157" s="92" t="str">
        <f>IF(C157="","",IF(データ抽出!F157="","",データ抽出!F157))</f>
        <v/>
      </c>
      <c r="K157" s="63" t="str">
        <f>IF(A157="","","5項［発電所情報］の区画番号（1～8）を記入ください")</f>
        <v/>
      </c>
    </row>
    <row r="158" spans="1:11">
      <c r="A158" s="198" t="str">
        <f>IF(C$123&lt;5,"",IF(C$131="無し","","8-46"))</f>
        <v/>
      </c>
      <c r="B158" s="66" t="str">
        <f>IF(C$123&lt;5,"",IF(C$131="無し","","通信ID 5　PCS毎の出力制御設定　※１８"))</f>
        <v/>
      </c>
      <c r="C158" s="291"/>
      <c r="D158" s="292"/>
      <c r="E158" s="292"/>
      <c r="F158" s="292"/>
      <c r="G158" s="292"/>
      <c r="H158" s="293"/>
      <c r="I158" s="244" t="str">
        <f>IF(B158="","",IF(データ抽出!E158="","",データ抽出!E158))</f>
        <v/>
      </c>
      <c r="J158" s="93" t="str">
        <f>IF(データ抽出!F158="","",データ抽出!F158)</f>
        <v/>
      </c>
      <c r="K158" s="114" t="str">
        <f>IF(A158="","","リストより選択")</f>
        <v/>
      </c>
    </row>
    <row r="159" spans="1:11">
      <c r="A159" s="210" t="str">
        <f>IF(C$123&lt;6,"","8-47")</f>
        <v/>
      </c>
      <c r="B159" s="65" t="str">
        <f>IF(C$123&lt;6,"","通信ID 6　PCS型名")</f>
        <v/>
      </c>
      <c r="C159" s="288"/>
      <c r="D159" s="289"/>
      <c r="E159" s="289"/>
      <c r="F159" s="289"/>
      <c r="G159" s="289"/>
      <c r="H159" s="290"/>
      <c r="I159" s="245" t="str">
        <f>IF(B159="","",IF(データ抽出!E159="","",データ抽出!E159))</f>
        <v/>
      </c>
      <c r="J159" s="91" t="str">
        <f>IF(データ抽出!F159="","",データ抽出!F159)</f>
        <v/>
      </c>
      <c r="K159" s="113" t="str">
        <f>IF(A159="","","リストより選択　オプション部分の型名は問いません")</f>
        <v/>
      </c>
    </row>
    <row r="160" spans="1:11">
      <c r="A160" s="196" t="str">
        <f>IF(C$123&lt;6,"","8-48")</f>
        <v/>
      </c>
      <c r="B160" s="53" t="str">
        <f>IF(C$123&lt;6,"","通信ID 6　PCS製造番号")</f>
        <v/>
      </c>
      <c r="C160" s="282"/>
      <c r="D160" s="283"/>
      <c r="E160" s="283"/>
      <c r="F160" s="283"/>
      <c r="G160" s="283"/>
      <c r="H160" s="284"/>
      <c r="I160" s="253" t="str">
        <f>IF(B160="","",IF(データ抽出!E160="","",データ抽出!E160))</f>
        <v/>
      </c>
      <c r="J160" s="92" t="str">
        <f>IF(データ抽出!F160="","",データ抽出!F160)</f>
        <v/>
      </c>
      <c r="K160" s="63" t="str">
        <f>IF(A160="","","設置前等で不明な場合を除き、登録願います")</f>
        <v/>
      </c>
    </row>
    <row r="161" spans="1:11">
      <c r="A161" s="196" t="str">
        <f>IF(C$123&lt;6,"","8-49")</f>
        <v/>
      </c>
      <c r="B161" s="53" t="str">
        <f>IF(C$123&lt;6,"","通信ID 6　接続パネル合計枚数、直・並列枚数")</f>
        <v/>
      </c>
      <c r="C161" s="225" t="str">
        <f t="shared" si="8"/>
        <v/>
      </c>
      <c r="D161" s="215"/>
      <c r="E161" s="226" t="str">
        <f t="shared" si="9"/>
        <v/>
      </c>
      <c r="F161" s="215"/>
      <c r="G161" s="226" t="str">
        <f t="shared" si="10"/>
        <v/>
      </c>
      <c r="H161" s="215"/>
      <c r="I161" s="454" t="str">
        <f>IF(B161="","",IF(データ抽出!E161="","",データ抽出!E161))</f>
        <v/>
      </c>
      <c r="J161" s="455"/>
      <c r="K161" s="63" t="str">
        <f>IF(A161="","","必須以外の場合も、より正確な監視のために登録をお勧めします")</f>
        <v/>
      </c>
    </row>
    <row r="162" spans="1:11">
      <c r="A162" s="196" t="str">
        <f>IF(C$123&lt;6,"","8-50")</f>
        <v/>
      </c>
      <c r="B162" s="53" t="str">
        <f>IF(C$123&lt;6,"","通信ID 6　発電所区画No　※１７")</f>
        <v/>
      </c>
      <c r="C162" s="282"/>
      <c r="D162" s="283"/>
      <c r="E162" s="283"/>
      <c r="F162" s="283"/>
      <c r="G162" s="283"/>
      <c r="H162" s="284"/>
      <c r="I162" s="240" t="str">
        <f>IF(B162="","",IF(データ抽出!E162="","",データ抽出!E162))</f>
        <v/>
      </c>
      <c r="J162" s="92" t="str">
        <f>IF(C162="","",IF(データ抽出!F162="","",データ抽出!F162))</f>
        <v/>
      </c>
      <c r="K162" s="63" t="str">
        <f>IF(A162="","","5項［発電所情報］の区画番号（1～8）を記入ください")</f>
        <v/>
      </c>
    </row>
    <row r="163" spans="1:11">
      <c r="A163" s="209" t="str">
        <f>IF(C$123&lt;6,"",IF(C$131="無し","","8-51"))</f>
        <v/>
      </c>
      <c r="B163" s="64" t="str">
        <f>IF(C$123&lt;6,"",IF(C$131="無し","","通信ID 6　PCS毎の出力制御設定　※１８"))</f>
        <v/>
      </c>
      <c r="C163" s="291"/>
      <c r="D163" s="292"/>
      <c r="E163" s="292"/>
      <c r="F163" s="292"/>
      <c r="G163" s="292"/>
      <c r="H163" s="293"/>
      <c r="I163" s="244" t="str">
        <f>IF(B163="","",IF(データ抽出!E163="","",データ抽出!E163))</f>
        <v/>
      </c>
      <c r="J163" s="93" t="str">
        <f>IF(データ抽出!F163="","",データ抽出!F163)</f>
        <v/>
      </c>
      <c r="K163" s="114" t="str">
        <f>IF(A163="","","リストより選択")</f>
        <v/>
      </c>
    </row>
    <row r="164" spans="1:11">
      <c r="A164" s="210" t="str">
        <f>IF(C$123&lt;7,"","8-52")</f>
        <v/>
      </c>
      <c r="B164" s="65" t="str">
        <f>IF(C$123&lt;7,"","通信ID 7　PCS型名")</f>
        <v/>
      </c>
      <c r="C164" s="288"/>
      <c r="D164" s="289"/>
      <c r="E164" s="289"/>
      <c r="F164" s="289"/>
      <c r="G164" s="289"/>
      <c r="H164" s="290"/>
      <c r="I164" s="245" t="str">
        <f>IF(B164="","",IF(データ抽出!E164="","",データ抽出!E164))</f>
        <v/>
      </c>
      <c r="J164" s="91" t="str">
        <f>IF(データ抽出!F164="","",データ抽出!F164)</f>
        <v/>
      </c>
      <c r="K164" s="113" t="str">
        <f>IF(A164="","","リストより選択　オプション部分の型名は問いません")</f>
        <v/>
      </c>
    </row>
    <row r="165" spans="1:11">
      <c r="A165" s="196" t="str">
        <f>IF(C$123&lt;7,"","8-53")</f>
        <v/>
      </c>
      <c r="B165" s="53" t="str">
        <f>IF(C$123&lt;7,"","通信ID 7　PCS製造番号")</f>
        <v/>
      </c>
      <c r="C165" s="282"/>
      <c r="D165" s="283"/>
      <c r="E165" s="283"/>
      <c r="F165" s="283"/>
      <c r="G165" s="283"/>
      <c r="H165" s="284"/>
      <c r="I165" s="253" t="str">
        <f>IF(B165="","",IF(データ抽出!E165="","",データ抽出!E165))</f>
        <v/>
      </c>
      <c r="J165" s="92" t="str">
        <f>IF(データ抽出!F165="","",データ抽出!F165)</f>
        <v/>
      </c>
      <c r="K165" s="63" t="str">
        <f>IF(A165="","","設置前等で不明な場合を除き、登録願います")</f>
        <v/>
      </c>
    </row>
    <row r="166" spans="1:11">
      <c r="A166" s="196" t="str">
        <f>IF(C$123&lt;7,"","8-54")</f>
        <v/>
      </c>
      <c r="B166" s="53" t="str">
        <f>IF(C$123&lt;7,"","通信ID 7　接続パネル合計枚数、直・並列枚数")</f>
        <v/>
      </c>
      <c r="C166" s="225" t="str">
        <f t="shared" si="8"/>
        <v/>
      </c>
      <c r="D166" s="215"/>
      <c r="E166" s="226" t="str">
        <f t="shared" si="9"/>
        <v/>
      </c>
      <c r="F166" s="215"/>
      <c r="G166" s="226" t="str">
        <f t="shared" si="10"/>
        <v/>
      </c>
      <c r="H166" s="215"/>
      <c r="I166" s="454" t="str">
        <f>IF(B166="","",IF(データ抽出!E166="","",データ抽出!E166))</f>
        <v/>
      </c>
      <c r="J166" s="455"/>
      <c r="K166" s="63" t="str">
        <f>IF(A166="","","必須以外の場合も、より正確な監視のために登録をお勧めします")</f>
        <v/>
      </c>
    </row>
    <row r="167" spans="1:11">
      <c r="A167" s="196" t="str">
        <f>IF(C$123&lt;7,"","8-55")</f>
        <v/>
      </c>
      <c r="B167" s="53" t="str">
        <f>IF(C$123&lt;7,"","通信ID 7　発電所区画No　※１７")</f>
        <v/>
      </c>
      <c r="C167" s="282"/>
      <c r="D167" s="283"/>
      <c r="E167" s="283"/>
      <c r="F167" s="283"/>
      <c r="G167" s="283"/>
      <c r="H167" s="284"/>
      <c r="I167" s="240" t="str">
        <f>IF(B167="","",IF(データ抽出!E167="","",データ抽出!E167))</f>
        <v/>
      </c>
      <c r="J167" s="92" t="str">
        <f>IF(C167="","",IF(データ抽出!F167="","",データ抽出!F167))</f>
        <v/>
      </c>
      <c r="K167" s="63" t="str">
        <f>IF(A167="","","5項［発電所情報］の区画番号（1～8）を記入ください")</f>
        <v/>
      </c>
    </row>
    <row r="168" spans="1:11">
      <c r="A168" s="198" t="str">
        <f>IF(C$123&lt;7,"",IF(C$131="無し","","8-56"))</f>
        <v/>
      </c>
      <c r="B168" s="66" t="str">
        <f>IF(C$123&lt;7,"",IF(C$131="無し","","通信ID 7　PCS毎の出力制御設定　※１８"))</f>
        <v/>
      </c>
      <c r="C168" s="291"/>
      <c r="D168" s="292"/>
      <c r="E168" s="292"/>
      <c r="F168" s="292"/>
      <c r="G168" s="292"/>
      <c r="H168" s="293"/>
      <c r="I168" s="244" t="str">
        <f>IF(B168="","",IF(データ抽出!E168="","",データ抽出!E168))</f>
        <v/>
      </c>
      <c r="J168" s="93" t="str">
        <f>IF(データ抽出!F168="","",データ抽出!F168)</f>
        <v/>
      </c>
      <c r="K168" s="114" t="str">
        <f>IF(A168="","","リストより選択")</f>
        <v/>
      </c>
    </row>
    <row r="169" spans="1:11">
      <c r="A169" s="197" t="str">
        <f>IF(C$123&lt;8,"","8-57")</f>
        <v/>
      </c>
      <c r="B169" s="67" t="str">
        <f>IF(C$123&lt;8,"","通信ID 8　PCS型名")</f>
        <v/>
      </c>
      <c r="C169" s="288"/>
      <c r="D169" s="289"/>
      <c r="E169" s="289"/>
      <c r="F169" s="289"/>
      <c r="G169" s="289"/>
      <c r="H169" s="290"/>
      <c r="I169" s="245" t="str">
        <f>IF(B169="","",IF(データ抽出!E169="","",データ抽出!E169))</f>
        <v/>
      </c>
      <c r="J169" s="91" t="str">
        <f>IF(データ抽出!F169="","",データ抽出!F169)</f>
        <v/>
      </c>
      <c r="K169" s="113" t="str">
        <f>IF(A169="","","リストより選択　オプション部分の型名は問いません")</f>
        <v/>
      </c>
    </row>
    <row r="170" spans="1:11">
      <c r="A170" s="196" t="str">
        <f>IF(C$123&lt;8,"","8-58")</f>
        <v/>
      </c>
      <c r="B170" s="53" t="str">
        <f>IF(C$123&lt;8,"","通信ID 8　PCS製造番号")</f>
        <v/>
      </c>
      <c r="C170" s="282"/>
      <c r="D170" s="283"/>
      <c r="E170" s="283"/>
      <c r="F170" s="283"/>
      <c r="G170" s="283"/>
      <c r="H170" s="284"/>
      <c r="I170" s="253" t="str">
        <f>IF(B170="","",IF(データ抽出!E170="","",データ抽出!E170))</f>
        <v/>
      </c>
      <c r="J170" s="92" t="str">
        <f>IF(データ抽出!F170="","",データ抽出!F170)</f>
        <v/>
      </c>
      <c r="K170" s="63" t="str">
        <f>IF(A170="","","設置前等で不明な場合を除き、登録願います")</f>
        <v/>
      </c>
    </row>
    <row r="171" spans="1:11">
      <c r="A171" s="196" t="str">
        <f>IF(C$123&lt;8,"","8-59")</f>
        <v/>
      </c>
      <c r="B171" s="53" t="str">
        <f>IF(C$123&lt;8,"","通信ID 8　接続パネル合計枚数、直・並列枚数")</f>
        <v/>
      </c>
      <c r="C171" s="225" t="str">
        <f t="shared" si="8"/>
        <v/>
      </c>
      <c r="D171" s="215"/>
      <c r="E171" s="226" t="str">
        <f t="shared" si="9"/>
        <v/>
      </c>
      <c r="F171" s="215"/>
      <c r="G171" s="226" t="str">
        <f t="shared" si="10"/>
        <v/>
      </c>
      <c r="H171" s="215"/>
      <c r="I171" s="454" t="str">
        <f>IF(B171="","",IF(データ抽出!E171="","",データ抽出!E171))</f>
        <v/>
      </c>
      <c r="J171" s="455"/>
      <c r="K171" s="63" t="str">
        <f>IF(A171="","","必須以外の場合も、より正確な監視のために登録をお勧めします")</f>
        <v/>
      </c>
    </row>
    <row r="172" spans="1:11">
      <c r="A172" s="196" t="str">
        <f>IF(C$123&lt;8,"","8-60")</f>
        <v/>
      </c>
      <c r="B172" s="53" t="str">
        <f>IF(C$123&lt;8,"","通信ID 8　発電所区画No　※１７")</f>
        <v/>
      </c>
      <c r="C172" s="282"/>
      <c r="D172" s="283"/>
      <c r="E172" s="283"/>
      <c r="F172" s="283"/>
      <c r="G172" s="283"/>
      <c r="H172" s="284"/>
      <c r="I172" s="240" t="str">
        <f>IF(B172="","",IF(データ抽出!E172="","",データ抽出!E172))</f>
        <v/>
      </c>
      <c r="J172" s="92" t="str">
        <f>IF(C172="","",IF(データ抽出!F172="","",データ抽出!F172))</f>
        <v/>
      </c>
      <c r="K172" s="63" t="str">
        <f>IF(A172="","","5項［発電所情報］の区画番号（1～8）を記入ください")</f>
        <v/>
      </c>
    </row>
    <row r="173" spans="1:11">
      <c r="A173" s="209" t="str">
        <f>IF(C$123&lt;8,"",IF(C$131="無し","","8-61"))</f>
        <v/>
      </c>
      <c r="B173" s="64" t="str">
        <f>IF(C$123&lt;8,"",IF(C$131="無し","","通信ID 8　PCS毎の出力制御設定　※１８"))</f>
        <v/>
      </c>
      <c r="C173" s="291"/>
      <c r="D173" s="292"/>
      <c r="E173" s="292"/>
      <c r="F173" s="292"/>
      <c r="G173" s="292"/>
      <c r="H173" s="293"/>
      <c r="I173" s="244" t="str">
        <f>IF(B173="","",IF(データ抽出!E173="","",データ抽出!E173))</f>
        <v/>
      </c>
      <c r="J173" s="93" t="str">
        <f>IF(データ抽出!F173="","",データ抽出!F173)</f>
        <v/>
      </c>
      <c r="K173" s="114" t="str">
        <f>IF(A173="","","リストより選択")</f>
        <v/>
      </c>
    </row>
    <row r="174" spans="1:11">
      <c r="A174" s="210" t="str">
        <f>IF(C$123&lt;9,"","8-62")</f>
        <v/>
      </c>
      <c r="B174" s="65" t="str">
        <f>IF(C$123&lt;9,"","通信ID 9　PCS型名")</f>
        <v/>
      </c>
      <c r="C174" s="288"/>
      <c r="D174" s="289"/>
      <c r="E174" s="289"/>
      <c r="F174" s="289"/>
      <c r="G174" s="289"/>
      <c r="H174" s="290"/>
      <c r="I174" s="245" t="str">
        <f>IF(B174="","",IF(データ抽出!E174="","",データ抽出!E174))</f>
        <v/>
      </c>
      <c r="J174" s="91" t="str">
        <f>IF(データ抽出!F174="","",データ抽出!F174)</f>
        <v/>
      </c>
      <c r="K174" s="113" t="str">
        <f>IF(A174="","","リストより選択　オプション部分の型名は問いません")</f>
        <v/>
      </c>
    </row>
    <row r="175" spans="1:11">
      <c r="A175" s="196" t="str">
        <f>IF(C$123&lt;9,"","8-63")</f>
        <v/>
      </c>
      <c r="B175" s="53" t="str">
        <f>IF(C$123&lt;9,"","通信ID 9　PCS製造番号")</f>
        <v/>
      </c>
      <c r="C175" s="282"/>
      <c r="D175" s="283"/>
      <c r="E175" s="283"/>
      <c r="F175" s="283"/>
      <c r="G175" s="283"/>
      <c r="H175" s="284"/>
      <c r="I175" s="253" t="str">
        <f>IF(B175="","",IF(データ抽出!E175="","",データ抽出!E175))</f>
        <v/>
      </c>
      <c r="J175" s="92" t="str">
        <f>IF(データ抽出!F175="","",データ抽出!F175)</f>
        <v/>
      </c>
      <c r="K175" s="63" t="str">
        <f>IF(A175="","","設置前等で不明な場合を除き、登録願います")</f>
        <v/>
      </c>
    </row>
    <row r="176" spans="1:11">
      <c r="A176" s="196" t="str">
        <f>IF(C$123&lt;9,"","8-64")</f>
        <v/>
      </c>
      <c r="B176" s="53" t="str">
        <f>IF(C$123&lt;9,"","通信ID 9　接続パネル合計枚数、直・並列枚数")</f>
        <v/>
      </c>
      <c r="C176" s="225" t="str">
        <f t="shared" si="8"/>
        <v/>
      </c>
      <c r="D176" s="215"/>
      <c r="E176" s="226" t="str">
        <f t="shared" si="9"/>
        <v/>
      </c>
      <c r="F176" s="215"/>
      <c r="G176" s="226" t="str">
        <f t="shared" si="10"/>
        <v/>
      </c>
      <c r="H176" s="215"/>
      <c r="I176" s="454" t="str">
        <f>IF(B176="","",IF(データ抽出!E176="","",データ抽出!E176))</f>
        <v/>
      </c>
      <c r="J176" s="455"/>
      <c r="K176" s="63" t="str">
        <f>IF(A176="","","必須以外の場合も、より正確な監視のために登録をお勧めします")</f>
        <v/>
      </c>
    </row>
    <row r="177" spans="1:11">
      <c r="A177" s="196" t="str">
        <f>IF(C$123&lt;9,"","8-65")</f>
        <v/>
      </c>
      <c r="B177" s="53" t="str">
        <f>IF(C$123&lt;9,"","通信ID 9　発電所区画No　※１７")</f>
        <v/>
      </c>
      <c r="C177" s="282"/>
      <c r="D177" s="283"/>
      <c r="E177" s="283"/>
      <c r="F177" s="283"/>
      <c r="G177" s="283"/>
      <c r="H177" s="284"/>
      <c r="I177" s="240" t="str">
        <f>IF(B177="","",IF(データ抽出!E177="","",データ抽出!E177))</f>
        <v/>
      </c>
      <c r="J177" s="92" t="str">
        <f>IF(C177="","",IF(データ抽出!F177="","",データ抽出!F177))</f>
        <v/>
      </c>
      <c r="K177" s="63" t="str">
        <f>IF(A177="","","5項［発電所情報］の区画番号（1～8）を記入ください")</f>
        <v/>
      </c>
    </row>
    <row r="178" spans="1:11">
      <c r="A178" s="198" t="str">
        <f>IF(C$123&lt;9,"",IF(C$131="無し","","8-66"))</f>
        <v/>
      </c>
      <c r="B178" s="66" t="str">
        <f>IF(C$123&lt;9,"",IF(C$131="無し","","通信ID 9　PCS毎の出力制御設定　※１８"))</f>
        <v/>
      </c>
      <c r="C178" s="291"/>
      <c r="D178" s="292"/>
      <c r="E178" s="292"/>
      <c r="F178" s="292"/>
      <c r="G178" s="292"/>
      <c r="H178" s="293"/>
      <c r="I178" s="244" t="str">
        <f>IF(B178="","",IF(データ抽出!E178="","",データ抽出!E178))</f>
        <v/>
      </c>
      <c r="J178" s="93" t="str">
        <f>IF(データ抽出!F178="","",データ抽出!F178)</f>
        <v/>
      </c>
      <c r="K178" s="114" t="str">
        <f>IF(A178="","","リストより選択")</f>
        <v/>
      </c>
    </row>
    <row r="179" spans="1:11">
      <c r="A179" s="197" t="str">
        <f>IF(C$123&lt;10,"","8-67")</f>
        <v/>
      </c>
      <c r="B179" s="67" t="str">
        <f>IF(C$123&lt;10,"","通信ID 10　PCS型名")</f>
        <v/>
      </c>
      <c r="C179" s="288"/>
      <c r="D179" s="289"/>
      <c r="E179" s="289"/>
      <c r="F179" s="289"/>
      <c r="G179" s="289"/>
      <c r="H179" s="290"/>
      <c r="I179" s="245" t="str">
        <f>IF(B179="","",IF(データ抽出!E179="","",データ抽出!E179))</f>
        <v/>
      </c>
      <c r="J179" s="91" t="str">
        <f>IF(データ抽出!F179="","",データ抽出!F179)</f>
        <v/>
      </c>
      <c r="K179" s="113" t="str">
        <f>IF(A179="","","リストより選択　オプション部分の型名は問いません")</f>
        <v/>
      </c>
    </row>
    <row r="180" spans="1:11">
      <c r="A180" s="196" t="str">
        <f>IF(C$123&lt;10,"","8-68")</f>
        <v/>
      </c>
      <c r="B180" s="53" t="str">
        <f>IF(C$123&lt;10,"","通信ID 10　PCS製造番号")</f>
        <v/>
      </c>
      <c r="C180" s="282"/>
      <c r="D180" s="283"/>
      <c r="E180" s="283"/>
      <c r="F180" s="283"/>
      <c r="G180" s="283"/>
      <c r="H180" s="284"/>
      <c r="I180" s="253" t="str">
        <f>IF(B180="","",IF(データ抽出!E180="","",データ抽出!E180))</f>
        <v/>
      </c>
      <c r="J180" s="92" t="str">
        <f>IF(データ抽出!F180="","",データ抽出!F180)</f>
        <v/>
      </c>
      <c r="K180" s="63" t="str">
        <f>IF(A180="","","設置前等で不明な場合を除き、登録願います")</f>
        <v/>
      </c>
    </row>
    <row r="181" spans="1:11">
      <c r="A181" s="196" t="str">
        <f>IF(C$123&lt;10,"","8-69")</f>
        <v/>
      </c>
      <c r="B181" s="53" t="str">
        <f>IF(C$123&lt;10,"","通信ID 10　接続パネル合計枚数、直・並列枚数")</f>
        <v/>
      </c>
      <c r="C181" s="225" t="str">
        <f t="shared" si="8"/>
        <v/>
      </c>
      <c r="D181" s="215"/>
      <c r="E181" s="226" t="str">
        <f t="shared" si="9"/>
        <v/>
      </c>
      <c r="F181" s="215"/>
      <c r="G181" s="226" t="str">
        <f t="shared" si="10"/>
        <v/>
      </c>
      <c r="H181" s="215"/>
      <c r="I181" s="454" t="str">
        <f>IF(B181="","",IF(データ抽出!E181="","",データ抽出!E181))</f>
        <v/>
      </c>
      <c r="J181" s="455"/>
      <c r="K181" s="63" t="str">
        <f>IF(A181="","","必須以外の場合も、より正確な監視のために登録をお勧めします")</f>
        <v/>
      </c>
    </row>
    <row r="182" spans="1:11">
      <c r="A182" s="196" t="str">
        <f>IF(C$123&lt;10,"","8-70")</f>
        <v/>
      </c>
      <c r="B182" s="53" t="str">
        <f>IF(C$123&lt;10,"","通信ID 10　発電所区画No　※１７")</f>
        <v/>
      </c>
      <c r="C182" s="282"/>
      <c r="D182" s="283"/>
      <c r="E182" s="283"/>
      <c r="F182" s="283"/>
      <c r="G182" s="283"/>
      <c r="H182" s="284"/>
      <c r="I182" s="240" t="str">
        <f>IF(B182="","",IF(データ抽出!E182="","",データ抽出!E182))</f>
        <v/>
      </c>
      <c r="J182" s="92" t="str">
        <f>IF(C182="","",IF(データ抽出!F182="","",データ抽出!F182))</f>
        <v/>
      </c>
      <c r="K182" s="63" t="str">
        <f>IF(A182="","","5項［発電所情報］の区画番号（1～8）を記入ください")</f>
        <v/>
      </c>
    </row>
    <row r="183" spans="1:11">
      <c r="A183" s="209" t="str">
        <f>IF(C$123&lt;10,"",IF(C$131="無し","","8-71"))</f>
        <v/>
      </c>
      <c r="B183" s="64" t="str">
        <f>IF(C$123&lt;10,"",IF(C$131="無し","","通信ID 10　PCS毎の出力制御設定　※１８"))</f>
        <v/>
      </c>
      <c r="C183" s="291"/>
      <c r="D183" s="292"/>
      <c r="E183" s="292"/>
      <c r="F183" s="292"/>
      <c r="G183" s="292"/>
      <c r="H183" s="293"/>
      <c r="I183" s="244" t="str">
        <f>IF(B183="","",IF(データ抽出!E183="","",データ抽出!E183))</f>
        <v/>
      </c>
      <c r="J183" s="93" t="str">
        <f>IF(データ抽出!F183="","",データ抽出!F183)</f>
        <v/>
      </c>
      <c r="K183" s="114" t="str">
        <f>IF(A183="","","リストより選択")</f>
        <v/>
      </c>
    </row>
    <row r="184" spans="1:11">
      <c r="A184" s="210" t="str">
        <f>IF(C$123&lt;11,"","8-72")</f>
        <v/>
      </c>
      <c r="B184" s="65" t="str">
        <f>IF(C$123&lt;11,"","通信ID 11　PCS型名")</f>
        <v/>
      </c>
      <c r="C184" s="288"/>
      <c r="D184" s="289"/>
      <c r="E184" s="289"/>
      <c r="F184" s="289"/>
      <c r="G184" s="289"/>
      <c r="H184" s="290"/>
      <c r="I184" s="245" t="str">
        <f>IF(B184="","",IF(データ抽出!E184="","",データ抽出!E184))</f>
        <v/>
      </c>
      <c r="J184" s="91" t="str">
        <f>IF(データ抽出!F184="","",データ抽出!F184)</f>
        <v/>
      </c>
      <c r="K184" s="113" t="str">
        <f>IF(A184="","","リストより選択　オプション部分の型名は問いません")</f>
        <v/>
      </c>
    </row>
    <row r="185" spans="1:11">
      <c r="A185" s="196" t="str">
        <f>IF(C$123&lt;11,"","8-73")</f>
        <v/>
      </c>
      <c r="B185" s="53" t="str">
        <f>IF(C$123&lt;11,"","通信ID 11　PCS製造番号")</f>
        <v/>
      </c>
      <c r="C185" s="282"/>
      <c r="D185" s="283"/>
      <c r="E185" s="283"/>
      <c r="F185" s="283"/>
      <c r="G185" s="283"/>
      <c r="H185" s="284"/>
      <c r="I185" s="253" t="str">
        <f>IF(B185="","",IF(データ抽出!E185="","",データ抽出!E185))</f>
        <v/>
      </c>
      <c r="J185" s="92" t="str">
        <f>IF(データ抽出!F185="","",データ抽出!F185)</f>
        <v/>
      </c>
      <c r="K185" s="63" t="str">
        <f>IF(A185="","","設置前等で不明な場合を除き、登録願います")</f>
        <v/>
      </c>
    </row>
    <row r="186" spans="1:11">
      <c r="A186" s="196" t="str">
        <f>IF(C$123&lt;11,"","8-74")</f>
        <v/>
      </c>
      <c r="B186" s="53" t="str">
        <f>IF(C$123&lt;11,"","通信ID 11　接続パネル合計枚数、直・並列枚数")</f>
        <v/>
      </c>
      <c r="C186" s="225" t="str">
        <f t="shared" si="8"/>
        <v/>
      </c>
      <c r="D186" s="215"/>
      <c r="E186" s="226" t="str">
        <f t="shared" si="9"/>
        <v/>
      </c>
      <c r="F186" s="215"/>
      <c r="G186" s="226" t="str">
        <f t="shared" si="10"/>
        <v/>
      </c>
      <c r="H186" s="215"/>
      <c r="I186" s="454" t="str">
        <f>IF(B186="","",IF(データ抽出!E186="","",データ抽出!E186))</f>
        <v/>
      </c>
      <c r="J186" s="455"/>
      <c r="K186" s="63" t="str">
        <f>IF(A186="","","必須以外の場合も、より正確な監視のために登録をお勧めします")</f>
        <v/>
      </c>
    </row>
    <row r="187" spans="1:11">
      <c r="A187" s="196" t="str">
        <f>IF(C$123&lt;11,"","8-75")</f>
        <v/>
      </c>
      <c r="B187" s="53" t="str">
        <f>IF(C$123&lt;11,"","通信ID 11　発電所区画No　※１７")</f>
        <v/>
      </c>
      <c r="C187" s="282"/>
      <c r="D187" s="283"/>
      <c r="E187" s="283"/>
      <c r="F187" s="283"/>
      <c r="G187" s="283"/>
      <c r="H187" s="284"/>
      <c r="I187" s="240" t="str">
        <f>IF(B187="","",IF(データ抽出!E187="","",データ抽出!E187))</f>
        <v/>
      </c>
      <c r="J187" s="92" t="str">
        <f>IF(C187="","",IF(データ抽出!F187="","",データ抽出!F187))</f>
        <v/>
      </c>
      <c r="K187" s="63" t="str">
        <f>IF(A187="","","5項［発電所情報］の区画番号（1～8）を記入ください")</f>
        <v/>
      </c>
    </row>
    <row r="188" spans="1:11">
      <c r="A188" s="198" t="str">
        <f>IF(C$123&lt;11,"",IF(C$131="無し","","8-76"))</f>
        <v/>
      </c>
      <c r="B188" s="66" t="str">
        <f>IF(C$123&lt;11,"",IF(C$131="無し","","通信ID 11　PCS毎の出力制御設定　※１８"))</f>
        <v/>
      </c>
      <c r="C188" s="291"/>
      <c r="D188" s="292"/>
      <c r="E188" s="292"/>
      <c r="F188" s="292"/>
      <c r="G188" s="292"/>
      <c r="H188" s="293"/>
      <c r="I188" s="244" t="str">
        <f>IF(B188="","",IF(データ抽出!E188="","",データ抽出!E188))</f>
        <v/>
      </c>
      <c r="J188" s="93" t="str">
        <f>IF(データ抽出!F188="","",データ抽出!F188)</f>
        <v/>
      </c>
      <c r="K188" s="114" t="str">
        <f>IF(A188="","","リストより選択")</f>
        <v/>
      </c>
    </row>
    <row r="189" spans="1:11">
      <c r="A189" s="197" t="str">
        <f>IF(C$123&lt;12,"","8-77")</f>
        <v/>
      </c>
      <c r="B189" s="67" t="str">
        <f>IF(C$123&lt;12,"","通信ID 12　PCS型名")</f>
        <v/>
      </c>
      <c r="C189" s="288"/>
      <c r="D189" s="289"/>
      <c r="E189" s="289"/>
      <c r="F189" s="289"/>
      <c r="G189" s="289"/>
      <c r="H189" s="290"/>
      <c r="I189" s="245" t="str">
        <f>IF(B189="","",IF(データ抽出!E189="","",データ抽出!E189))</f>
        <v/>
      </c>
      <c r="J189" s="91" t="str">
        <f>IF(データ抽出!F189="","",データ抽出!F189)</f>
        <v/>
      </c>
      <c r="K189" s="113" t="str">
        <f>IF(A189="","","リストより選択　オプション部分の型名は問いません")</f>
        <v/>
      </c>
    </row>
    <row r="190" spans="1:11">
      <c r="A190" s="196" t="str">
        <f>IF(C$123&lt;12,"","8-78")</f>
        <v/>
      </c>
      <c r="B190" s="53" t="str">
        <f>IF(C$123&lt;12,"","通信ID 12　PCS製造番号")</f>
        <v/>
      </c>
      <c r="C190" s="282"/>
      <c r="D190" s="283"/>
      <c r="E190" s="283"/>
      <c r="F190" s="283"/>
      <c r="G190" s="283"/>
      <c r="H190" s="284"/>
      <c r="I190" s="253" t="str">
        <f>IF(B190="","",IF(データ抽出!E190="","",データ抽出!E190))</f>
        <v/>
      </c>
      <c r="J190" s="92" t="str">
        <f>IF(データ抽出!F190="","",データ抽出!F190)</f>
        <v/>
      </c>
      <c r="K190" s="63" t="str">
        <f>IF(A190="","","設置前等で不明な場合を除き、登録願います")</f>
        <v/>
      </c>
    </row>
    <row r="191" spans="1:11">
      <c r="A191" s="196" t="str">
        <f>IF(C$123&lt;12,"","8-79")</f>
        <v/>
      </c>
      <c r="B191" s="53" t="str">
        <f>IF(C$123&lt;12,"","通信ID 12　接続パネル合計枚数、直・並列枚数")</f>
        <v/>
      </c>
      <c r="C191" s="225" t="str">
        <f t="shared" si="8"/>
        <v/>
      </c>
      <c r="D191" s="215"/>
      <c r="E191" s="226" t="str">
        <f t="shared" si="9"/>
        <v/>
      </c>
      <c r="F191" s="215"/>
      <c r="G191" s="226" t="str">
        <f t="shared" si="10"/>
        <v/>
      </c>
      <c r="H191" s="215"/>
      <c r="I191" s="454" t="str">
        <f>IF(B191="","",IF(データ抽出!E191="","",データ抽出!E191))</f>
        <v/>
      </c>
      <c r="J191" s="455"/>
      <c r="K191" s="63" t="str">
        <f>IF(A191="","","必須以外の場合も、より正確な監視のために登録をお勧めします")</f>
        <v/>
      </c>
    </row>
    <row r="192" spans="1:11">
      <c r="A192" s="196" t="str">
        <f>IF(C$123&lt;12,"","8-80")</f>
        <v/>
      </c>
      <c r="B192" s="53" t="str">
        <f>IF(C$123&lt;12,"","通信ID 12　発電所区画No　※１７")</f>
        <v/>
      </c>
      <c r="C192" s="282"/>
      <c r="D192" s="283"/>
      <c r="E192" s="283"/>
      <c r="F192" s="283"/>
      <c r="G192" s="283"/>
      <c r="H192" s="284"/>
      <c r="I192" s="240" t="str">
        <f>IF(B192="","",IF(データ抽出!E192="","",データ抽出!E192))</f>
        <v/>
      </c>
      <c r="J192" s="92" t="str">
        <f>IF(C192="","",IF(データ抽出!F192="","",データ抽出!F192))</f>
        <v/>
      </c>
      <c r="K192" s="63" t="str">
        <f>IF(A192="","","5項［発電所情報］の区画番号（1～8）を記入ください")</f>
        <v/>
      </c>
    </row>
    <row r="193" spans="1:11">
      <c r="A193" s="209" t="str">
        <f>IF(C$123&lt;12,"",IF(C$131="無し","","8-81"))</f>
        <v/>
      </c>
      <c r="B193" s="64" t="str">
        <f>IF(C$123&lt;12,"",IF(C$131="無し","","通信ID 12　PCS毎の出力制御設定　※１８"))</f>
        <v/>
      </c>
      <c r="C193" s="291"/>
      <c r="D193" s="292"/>
      <c r="E193" s="292"/>
      <c r="F193" s="292"/>
      <c r="G193" s="292"/>
      <c r="H193" s="293"/>
      <c r="I193" s="244" t="str">
        <f>IF(B193="","",IF(データ抽出!E193="","",データ抽出!E193))</f>
        <v/>
      </c>
      <c r="J193" s="93" t="str">
        <f>IF(データ抽出!F193="","",データ抽出!F193)</f>
        <v/>
      </c>
      <c r="K193" s="114" t="str">
        <f>IF(A193="","","リストより選択")</f>
        <v/>
      </c>
    </row>
    <row r="194" spans="1:11">
      <c r="A194" s="210" t="str">
        <f>IF(C$123&lt;13,"","8-82")</f>
        <v/>
      </c>
      <c r="B194" s="65" t="str">
        <f>IF(C$123&lt;13,"","通信ID 13　PCS型名")</f>
        <v/>
      </c>
      <c r="C194" s="288"/>
      <c r="D194" s="289"/>
      <c r="E194" s="289"/>
      <c r="F194" s="289"/>
      <c r="G194" s="289"/>
      <c r="H194" s="290"/>
      <c r="I194" s="245" t="str">
        <f>IF(B194="","",IF(データ抽出!E194="","",データ抽出!E194))</f>
        <v/>
      </c>
      <c r="J194" s="91" t="str">
        <f>IF(データ抽出!F194="","",データ抽出!F194)</f>
        <v/>
      </c>
      <c r="K194" s="113" t="str">
        <f>IF(A194="","","リストより選択　オプション部分の型名は問いません")</f>
        <v/>
      </c>
    </row>
    <row r="195" spans="1:11">
      <c r="A195" s="196" t="str">
        <f>IF(C$123&lt;13,"","8-83")</f>
        <v/>
      </c>
      <c r="B195" s="53" t="str">
        <f>IF(C$123&lt;13,"","通信ID 13　PCS製造番号")</f>
        <v/>
      </c>
      <c r="C195" s="282"/>
      <c r="D195" s="283"/>
      <c r="E195" s="283"/>
      <c r="F195" s="283"/>
      <c r="G195" s="283"/>
      <c r="H195" s="284"/>
      <c r="I195" s="253" t="str">
        <f>IF(B195="","",IF(データ抽出!E195="","",データ抽出!E195))</f>
        <v/>
      </c>
      <c r="J195" s="92" t="str">
        <f>IF(データ抽出!F195="","",データ抽出!F195)</f>
        <v/>
      </c>
      <c r="K195" s="63" t="str">
        <f>IF(A195="","","設置前等で不明な場合を除き、登録願います")</f>
        <v/>
      </c>
    </row>
    <row r="196" spans="1:11">
      <c r="A196" s="196" t="str">
        <f>IF(C$123&lt;13,"","8-84")</f>
        <v/>
      </c>
      <c r="B196" s="53" t="str">
        <f>IF(C$123&lt;13,"","通信ID 13　接続パネル合計枚数、直・並列枚数")</f>
        <v/>
      </c>
      <c r="C196" s="225" t="str">
        <f t="shared" si="8"/>
        <v/>
      </c>
      <c r="D196" s="215"/>
      <c r="E196" s="226" t="str">
        <f t="shared" si="9"/>
        <v/>
      </c>
      <c r="F196" s="215"/>
      <c r="G196" s="226" t="str">
        <f t="shared" si="10"/>
        <v/>
      </c>
      <c r="H196" s="215"/>
      <c r="I196" s="454" t="str">
        <f>IF(B196="","",IF(データ抽出!E196="","",データ抽出!E196))</f>
        <v/>
      </c>
      <c r="J196" s="455"/>
      <c r="K196" s="63" t="str">
        <f>IF(A196="","","必須以外の場合も、より正確な監視のために登録をお勧めします")</f>
        <v/>
      </c>
    </row>
    <row r="197" spans="1:11">
      <c r="A197" s="196" t="str">
        <f>IF(C$123&lt;13,"","8-85")</f>
        <v/>
      </c>
      <c r="B197" s="53" t="str">
        <f>IF(C$123&lt;13,"","通信ID 13　発電所区画No　※１７")</f>
        <v/>
      </c>
      <c r="C197" s="282"/>
      <c r="D197" s="283"/>
      <c r="E197" s="283"/>
      <c r="F197" s="283"/>
      <c r="G197" s="283"/>
      <c r="H197" s="284"/>
      <c r="I197" s="240" t="str">
        <f>IF(B197="","",IF(データ抽出!E197="","",データ抽出!E197))</f>
        <v/>
      </c>
      <c r="J197" s="92" t="str">
        <f>IF(C197="","",IF(データ抽出!F197="","",データ抽出!F197))</f>
        <v/>
      </c>
      <c r="K197" s="63" t="str">
        <f>IF(A197="","","5項［発電所情報］の区画番号（1～8）を記入ください")</f>
        <v/>
      </c>
    </row>
    <row r="198" spans="1:11">
      <c r="A198" s="198" t="str">
        <f>IF(C$123&lt;13,"",IF(C$131="無し","","8-86"))</f>
        <v/>
      </c>
      <c r="B198" s="66" t="str">
        <f>IF(C$123&lt;13,"",IF(C$131="無し","","通信ID 13　PCS毎の出力制御設定　※１８"))</f>
        <v/>
      </c>
      <c r="C198" s="291"/>
      <c r="D198" s="292"/>
      <c r="E198" s="292"/>
      <c r="F198" s="292"/>
      <c r="G198" s="292"/>
      <c r="H198" s="293"/>
      <c r="I198" s="244" t="str">
        <f>IF(B198="","",IF(データ抽出!E198="","",データ抽出!E198))</f>
        <v/>
      </c>
      <c r="J198" s="93" t="str">
        <f>IF(データ抽出!F198="","",データ抽出!F198)</f>
        <v/>
      </c>
      <c r="K198" s="114" t="str">
        <f>IF(A198="","","リストより選択")</f>
        <v/>
      </c>
    </row>
    <row r="199" spans="1:11">
      <c r="A199" s="197" t="str">
        <f>IF(C$123&lt;14,"","8-87")</f>
        <v/>
      </c>
      <c r="B199" s="67" t="str">
        <f>IF(C$123&lt;14,"","通信ID 14　PCS型名")</f>
        <v/>
      </c>
      <c r="C199" s="288"/>
      <c r="D199" s="289"/>
      <c r="E199" s="289"/>
      <c r="F199" s="289"/>
      <c r="G199" s="289"/>
      <c r="H199" s="290"/>
      <c r="I199" s="245" t="str">
        <f>IF(B199="","",IF(データ抽出!E199="","",データ抽出!E199))</f>
        <v/>
      </c>
      <c r="J199" s="91" t="str">
        <f>IF(データ抽出!F199="","",データ抽出!F199)</f>
        <v/>
      </c>
      <c r="K199" s="113" t="str">
        <f>IF(A199="","","リストより選択　オプション部分の型名は問いません")</f>
        <v/>
      </c>
    </row>
    <row r="200" spans="1:11">
      <c r="A200" s="196" t="str">
        <f>IF(C$123&lt;14,"","8-88")</f>
        <v/>
      </c>
      <c r="B200" s="53" t="str">
        <f>IF(C$123&lt;14,"","通信ID 14　PCS製造番号")</f>
        <v/>
      </c>
      <c r="C200" s="282"/>
      <c r="D200" s="283"/>
      <c r="E200" s="283"/>
      <c r="F200" s="283"/>
      <c r="G200" s="283"/>
      <c r="H200" s="284"/>
      <c r="I200" s="253" t="str">
        <f>IF(B200="","",IF(データ抽出!E200="","",データ抽出!E200))</f>
        <v/>
      </c>
      <c r="J200" s="92" t="str">
        <f>IF(データ抽出!F200="","",データ抽出!F200)</f>
        <v/>
      </c>
      <c r="K200" s="63" t="str">
        <f>IF(A200="","","設置前等で不明な場合を除き、登録願います")</f>
        <v/>
      </c>
    </row>
    <row r="201" spans="1:11">
      <c r="A201" s="196" t="str">
        <f>IF(C$123&lt;14,"","8-89")</f>
        <v/>
      </c>
      <c r="B201" s="53" t="str">
        <f>IF(C$123&lt;14,"","通信ID 14　接続パネル合計枚数、直・並列枚数")</f>
        <v/>
      </c>
      <c r="C201" s="225" t="str">
        <f t="shared" si="8"/>
        <v/>
      </c>
      <c r="D201" s="215"/>
      <c r="E201" s="226" t="str">
        <f t="shared" si="9"/>
        <v/>
      </c>
      <c r="F201" s="215"/>
      <c r="G201" s="226" t="str">
        <f t="shared" si="10"/>
        <v/>
      </c>
      <c r="H201" s="215"/>
      <c r="I201" s="454" t="str">
        <f>IF(B201="","",IF(データ抽出!E201="","",データ抽出!E201))</f>
        <v/>
      </c>
      <c r="J201" s="455"/>
      <c r="K201" s="63" t="str">
        <f>IF(A201="","","必須以外の場合も、より正確な監視のために登録をお勧めします")</f>
        <v/>
      </c>
    </row>
    <row r="202" spans="1:11">
      <c r="A202" s="196" t="str">
        <f>IF(C$123&lt;14,"","8-90")</f>
        <v/>
      </c>
      <c r="B202" s="53" t="str">
        <f>IF(C$123&lt;14,"","通信ID 14　発電所区画No　※１７")</f>
        <v/>
      </c>
      <c r="C202" s="282"/>
      <c r="D202" s="283"/>
      <c r="E202" s="283"/>
      <c r="F202" s="283"/>
      <c r="G202" s="283"/>
      <c r="H202" s="284"/>
      <c r="I202" s="240" t="str">
        <f>IF(B202="","",IF(データ抽出!E202="","",データ抽出!E202))</f>
        <v/>
      </c>
      <c r="J202" s="92" t="str">
        <f>IF(C202="","",IF(データ抽出!F202="","",データ抽出!F202))</f>
        <v/>
      </c>
      <c r="K202" s="63" t="str">
        <f>IF(A202="","","5項［発電所情報］の区画番号（1～8）を記入ください")</f>
        <v/>
      </c>
    </row>
    <row r="203" spans="1:11">
      <c r="A203" s="209" t="str">
        <f>IF(C$123&lt;14,"",IF(C$131="無し","","8-91"))</f>
        <v/>
      </c>
      <c r="B203" s="64" t="str">
        <f>IF(C$123&lt;14,"",IF(C$131="無し","","通信ID 14　PCS毎の出力制御設定　※１８"))</f>
        <v/>
      </c>
      <c r="C203" s="291"/>
      <c r="D203" s="292"/>
      <c r="E203" s="292"/>
      <c r="F203" s="292"/>
      <c r="G203" s="292"/>
      <c r="H203" s="293"/>
      <c r="I203" s="244" t="str">
        <f>IF(B203="","",IF(データ抽出!E203="","",データ抽出!E203))</f>
        <v/>
      </c>
      <c r="J203" s="93" t="str">
        <f>IF(データ抽出!F203="","",データ抽出!F203)</f>
        <v/>
      </c>
      <c r="K203" s="114" t="str">
        <f>IF(A203="","","リストより選択")</f>
        <v/>
      </c>
    </row>
    <row r="204" spans="1:11">
      <c r="A204" s="210" t="str">
        <f>IF(C$123&lt;15,"","8-92")</f>
        <v/>
      </c>
      <c r="B204" s="65" t="str">
        <f>IF(C$123&lt;15,"","通信ID 15　PCS型名")</f>
        <v/>
      </c>
      <c r="C204" s="288"/>
      <c r="D204" s="289"/>
      <c r="E204" s="289"/>
      <c r="F204" s="289"/>
      <c r="G204" s="289"/>
      <c r="H204" s="290"/>
      <c r="I204" s="245" t="str">
        <f>IF(B204="","",IF(データ抽出!E204="","",データ抽出!E204))</f>
        <v/>
      </c>
      <c r="J204" s="91" t="str">
        <f>IF(データ抽出!F204="","",データ抽出!F204)</f>
        <v/>
      </c>
      <c r="K204" s="113" t="str">
        <f>IF(A204="","","リストより選択　オプション部分の型名は問いません")</f>
        <v/>
      </c>
    </row>
    <row r="205" spans="1:11">
      <c r="A205" s="196" t="str">
        <f>IF(C$123&lt;15,"","8-93")</f>
        <v/>
      </c>
      <c r="B205" s="53" t="str">
        <f>IF(C$123&lt;15,"","通信ID 15　PCS製造番号")</f>
        <v/>
      </c>
      <c r="C205" s="282"/>
      <c r="D205" s="283"/>
      <c r="E205" s="283"/>
      <c r="F205" s="283"/>
      <c r="G205" s="283"/>
      <c r="H205" s="284"/>
      <c r="I205" s="253" t="str">
        <f>IF(B205="","",IF(データ抽出!E205="","",データ抽出!E205))</f>
        <v/>
      </c>
      <c r="J205" s="92" t="str">
        <f>IF(データ抽出!F205="","",データ抽出!F205)</f>
        <v/>
      </c>
      <c r="K205" s="63" t="str">
        <f>IF(A205="","","設置前等で不明な場合を除き、登録願います")</f>
        <v/>
      </c>
    </row>
    <row r="206" spans="1:11">
      <c r="A206" s="196" t="str">
        <f>IF(C$123&lt;15,"","8-94")</f>
        <v/>
      </c>
      <c r="B206" s="53" t="str">
        <f>IF(C$123&lt;15,"","通信ID 15　接続パネル合計枚数、直・並列枚数")</f>
        <v/>
      </c>
      <c r="C206" s="225" t="str">
        <f t="shared" si="8"/>
        <v/>
      </c>
      <c r="D206" s="215"/>
      <c r="E206" s="226" t="str">
        <f t="shared" si="9"/>
        <v/>
      </c>
      <c r="F206" s="215"/>
      <c r="G206" s="226" t="str">
        <f t="shared" si="10"/>
        <v/>
      </c>
      <c r="H206" s="215"/>
      <c r="I206" s="454" t="str">
        <f>IF(B206="","",IF(データ抽出!E206="","",データ抽出!E206))</f>
        <v/>
      </c>
      <c r="J206" s="455"/>
      <c r="K206" s="63" t="str">
        <f>IF(A206="","","必須以外の場合も、より正確な監視のために登録をお勧めします")</f>
        <v/>
      </c>
    </row>
    <row r="207" spans="1:11">
      <c r="A207" s="196" t="str">
        <f>IF(C$123&lt;15,"","8-95")</f>
        <v/>
      </c>
      <c r="B207" s="53" t="str">
        <f>IF(C$123&lt;15,"","通信ID 15　発電所区画No　※１７")</f>
        <v/>
      </c>
      <c r="C207" s="282"/>
      <c r="D207" s="283"/>
      <c r="E207" s="283"/>
      <c r="F207" s="283"/>
      <c r="G207" s="283"/>
      <c r="H207" s="284"/>
      <c r="I207" s="240" t="str">
        <f>IF(B207="","",IF(データ抽出!E207="","",データ抽出!E207))</f>
        <v/>
      </c>
      <c r="J207" s="92" t="str">
        <f>IF(C207="","",IF(データ抽出!F207="","",データ抽出!F207))</f>
        <v/>
      </c>
      <c r="K207" s="63" t="str">
        <f>IF(A207="","","5項［発電所情報］の区画番号（1～8）を記入ください")</f>
        <v/>
      </c>
    </row>
    <row r="208" spans="1:11">
      <c r="A208" s="198" t="str">
        <f>IF(C$123&lt;15,"",IF(C$131="無し","","8-96"))</f>
        <v/>
      </c>
      <c r="B208" s="66" t="str">
        <f>IF(C$123&lt;15,"",IF(C$131="無し","","通信ID 15　PCS毎の出力制御設定　※１８"))</f>
        <v/>
      </c>
      <c r="C208" s="291"/>
      <c r="D208" s="292"/>
      <c r="E208" s="292"/>
      <c r="F208" s="292"/>
      <c r="G208" s="292"/>
      <c r="H208" s="293"/>
      <c r="I208" s="244" t="str">
        <f>IF(B208="","",IF(データ抽出!E208="","",データ抽出!E208))</f>
        <v/>
      </c>
      <c r="J208" s="93" t="str">
        <f>IF(データ抽出!F208="","",データ抽出!F208)</f>
        <v/>
      </c>
      <c r="K208" s="114" t="str">
        <f>IF(A208="","","リストより選択")</f>
        <v/>
      </c>
    </row>
    <row r="209" spans="1:11">
      <c r="A209" s="197" t="str">
        <f>IF(C$123&lt;16,"","8-97")</f>
        <v/>
      </c>
      <c r="B209" s="67" t="str">
        <f>IF(C$123&lt;16,"","通信ID 16　PCS型名")</f>
        <v/>
      </c>
      <c r="C209" s="288"/>
      <c r="D209" s="289"/>
      <c r="E209" s="289"/>
      <c r="F209" s="289"/>
      <c r="G209" s="289"/>
      <c r="H209" s="290"/>
      <c r="I209" s="245" t="str">
        <f>IF(B209="","",IF(データ抽出!E209="","",データ抽出!E209))</f>
        <v/>
      </c>
      <c r="J209" s="91" t="str">
        <f>IF(データ抽出!F209="","",データ抽出!F209)</f>
        <v/>
      </c>
      <c r="K209" s="113" t="str">
        <f>IF(A209="","","リストより選択　オプション部分の型名は問いません")</f>
        <v/>
      </c>
    </row>
    <row r="210" spans="1:11">
      <c r="A210" s="196" t="str">
        <f>IF(C$123&lt;16,"","8-98")</f>
        <v/>
      </c>
      <c r="B210" s="53" t="str">
        <f>IF(C$123&lt;16,"","通信ID 16　PCS製造番号")</f>
        <v/>
      </c>
      <c r="C210" s="282"/>
      <c r="D210" s="283"/>
      <c r="E210" s="283"/>
      <c r="F210" s="283"/>
      <c r="G210" s="283"/>
      <c r="H210" s="284"/>
      <c r="I210" s="253" t="str">
        <f>IF(B210="","",IF(データ抽出!E210="","",データ抽出!E210))</f>
        <v/>
      </c>
      <c r="J210" s="92" t="str">
        <f>IF(データ抽出!F210="","",データ抽出!F210)</f>
        <v/>
      </c>
      <c r="K210" s="63" t="str">
        <f>IF(A210="","","設置前等で不明な場合を除き、登録願います")</f>
        <v/>
      </c>
    </row>
    <row r="211" spans="1:11">
      <c r="A211" s="196" t="str">
        <f>IF(C$123&lt;16,"","8-99")</f>
        <v/>
      </c>
      <c r="B211" s="53" t="str">
        <f>IF(C$123&lt;16,"","通信ID 16　接続パネル合計枚数、直・並列枚数")</f>
        <v/>
      </c>
      <c r="C211" s="225" t="str">
        <f t="shared" si="8"/>
        <v/>
      </c>
      <c r="D211" s="215"/>
      <c r="E211" s="226" t="str">
        <f t="shared" si="9"/>
        <v/>
      </c>
      <c r="F211" s="215"/>
      <c r="G211" s="226" t="str">
        <f t="shared" si="10"/>
        <v/>
      </c>
      <c r="H211" s="215"/>
      <c r="I211" s="454" t="str">
        <f>IF(B211="","",IF(データ抽出!E211="","",データ抽出!E211))</f>
        <v/>
      </c>
      <c r="J211" s="455"/>
      <c r="K211" s="63" t="str">
        <f>IF(A211="","","必須以外の場合も、より正確な監視のために登録をお勧めします")</f>
        <v/>
      </c>
    </row>
    <row r="212" spans="1:11">
      <c r="A212" s="196" t="str">
        <f>IF(C$123&lt;16,"","8-100")</f>
        <v/>
      </c>
      <c r="B212" s="53" t="str">
        <f>IF(C$123&lt;16,"","通信ID 16　発電所区画No　※１７")</f>
        <v/>
      </c>
      <c r="C212" s="282"/>
      <c r="D212" s="283"/>
      <c r="E212" s="283"/>
      <c r="F212" s="283"/>
      <c r="G212" s="283"/>
      <c r="H212" s="284"/>
      <c r="I212" s="240" t="str">
        <f>IF(B212="","",IF(データ抽出!E212="","",データ抽出!E212))</f>
        <v/>
      </c>
      <c r="J212" s="92" t="str">
        <f>IF(C212="","",IF(データ抽出!F212="","",データ抽出!F212))</f>
        <v/>
      </c>
      <c r="K212" s="63" t="str">
        <f>IF(A212="","","5項［発電所情報］の区画番号（1～8）を記入ください")</f>
        <v/>
      </c>
    </row>
    <row r="213" spans="1:11">
      <c r="A213" s="209" t="str">
        <f>IF(C$123&lt;16,"",IF(C$131="無し","","8-101"))</f>
        <v/>
      </c>
      <c r="B213" s="64" t="str">
        <f>IF(C$123&lt;16,"",IF(C$131="無し","","通信ID 16　PCS毎の出力制御設定　※１８"))</f>
        <v/>
      </c>
      <c r="C213" s="291"/>
      <c r="D213" s="292"/>
      <c r="E213" s="292"/>
      <c r="F213" s="292"/>
      <c r="G213" s="292"/>
      <c r="H213" s="293"/>
      <c r="I213" s="244" t="str">
        <f>IF(B213="","",IF(データ抽出!E213="","",データ抽出!E213))</f>
        <v/>
      </c>
      <c r="J213" s="93" t="str">
        <f>IF(データ抽出!F213="","",データ抽出!F213)</f>
        <v/>
      </c>
      <c r="K213" s="114" t="str">
        <f>IF(A213="","","リストより選択")</f>
        <v/>
      </c>
    </row>
    <row r="214" spans="1:11">
      <c r="A214" s="210" t="str">
        <f>IF(C$123&lt;17,"","8-102")</f>
        <v/>
      </c>
      <c r="B214" s="65" t="str">
        <f>IF(C$123&lt;17,"","通信ID 17　PCS型名")</f>
        <v/>
      </c>
      <c r="C214" s="288"/>
      <c r="D214" s="289"/>
      <c r="E214" s="289"/>
      <c r="F214" s="289"/>
      <c r="G214" s="289"/>
      <c r="H214" s="290"/>
      <c r="I214" s="245" t="str">
        <f>IF(B214="","",IF(データ抽出!E214="","",データ抽出!E214))</f>
        <v/>
      </c>
      <c r="J214" s="91" t="str">
        <f>IF(データ抽出!F214="","",データ抽出!F214)</f>
        <v/>
      </c>
      <c r="K214" s="113" t="str">
        <f>IF(A214="","","リストより選択　オプション部分の型名は問いません")</f>
        <v/>
      </c>
    </row>
    <row r="215" spans="1:11">
      <c r="A215" s="196" t="str">
        <f>IF(C$123&lt;17,"","8-103")</f>
        <v/>
      </c>
      <c r="B215" s="53" t="str">
        <f>IF(C$123&lt;17,"","通信ID 17　PCS製造番号")</f>
        <v/>
      </c>
      <c r="C215" s="282"/>
      <c r="D215" s="283"/>
      <c r="E215" s="283"/>
      <c r="F215" s="283"/>
      <c r="G215" s="283"/>
      <c r="H215" s="284"/>
      <c r="I215" s="253" t="str">
        <f>IF(B215="","",IF(データ抽出!E215="","",データ抽出!E215))</f>
        <v/>
      </c>
      <c r="J215" s="92" t="str">
        <f>IF(データ抽出!F215="","",データ抽出!F215)</f>
        <v/>
      </c>
      <c r="K215" s="63" t="str">
        <f>IF(A215="","","設置前等で不明な場合を除き、登録願います")</f>
        <v/>
      </c>
    </row>
    <row r="216" spans="1:11">
      <c r="A216" s="196" t="str">
        <f>IF(C$123&lt;17,"","8-104")</f>
        <v/>
      </c>
      <c r="B216" s="53" t="str">
        <f>IF(C$123&lt;17,"","通信ID 17　接続パネル合計枚数、直・並列枚数")</f>
        <v/>
      </c>
      <c r="C216" s="225" t="str">
        <f t="shared" ref="C216:C276" si="11">IF($B216="","","合計枚数：")</f>
        <v/>
      </c>
      <c r="D216" s="215"/>
      <c r="E216" s="226" t="str">
        <f t="shared" ref="E216:E276" si="12">IF($B216="","","直列枚数：")</f>
        <v/>
      </c>
      <c r="F216" s="215"/>
      <c r="G216" s="226" t="str">
        <f t="shared" ref="G216:G276" si="13">IF($B216="","","並列枚数：")</f>
        <v/>
      </c>
      <c r="H216" s="215"/>
      <c r="I216" s="454" t="str">
        <f>IF(B216="","",IF(データ抽出!E216="","",データ抽出!E216))</f>
        <v/>
      </c>
      <c r="J216" s="455"/>
      <c r="K216" s="63" t="str">
        <f>IF(A216="","","必須以外の場合も、より正確な監視のために登録をお勧めします")</f>
        <v/>
      </c>
    </row>
    <row r="217" spans="1:11">
      <c r="A217" s="196" t="str">
        <f>IF(C$123&lt;17,"","8-105")</f>
        <v/>
      </c>
      <c r="B217" s="53" t="str">
        <f>IF(C$123&lt;17,"","通信ID 17　発電所区画No　※１７")</f>
        <v/>
      </c>
      <c r="C217" s="282"/>
      <c r="D217" s="283"/>
      <c r="E217" s="283"/>
      <c r="F217" s="283"/>
      <c r="G217" s="283"/>
      <c r="H217" s="284"/>
      <c r="I217" s="240" t="str">
        <f>IF(B217="","",IF(データ抽出!E217="","",データ抽出!E217))</f>
        <v/>
      </c>
      <c r="J217" s="92" t="str">
        <f>IF(C217="","",IF(データ抽出!F217="","",データ抽出!F217))</f>
        <v/>
      </c>
      <c r="K217" s="63" t="str">
        <f>IF(A217="","","5項［発電所情報］の区画番号（1～8）を記入ください")</f>
        <v/>
      </c>
    </row>
    <row r="218" spans="1:11">
      <c r="A218" s="198" t="str">
        <f>IF(C$123&lt;17,"",IF(C$131="無し","","8-106"))</f>
        <v/>
      </c>
      <c r="B218" s="66" t="str">
        <f>IF(C$123&lt;17,"",IF(C$131="無し","","通信ID 17　PCS毎の出力制御設定　※１８"))</f>
        <v/>
      </c>
      <c r="C218" s="291"/>
      <c r="D218" s="292"/>
      <c r="E218" s="292"/>
      <c r="F218" s="292"/>
      <c r="G218" s="292"/>
      <c r="H218" s="293"/>
      <c r="I218" s="244" t="str">
        <f>IF(B218="","",IF(データ抽出!E218="","",データ抽出!E218))</f>
        <v/>
      </c>
      <c r="J218" s="93" t="str">
        <f>IF(データ抽出!F218="","",データ抽出!F218)</f>
        <v/>
      </c>
      <c r="K218" s="114" t="str">
        <f>IF(A218="","","リストより選択")</f>
        <v/>
      </c>
    </row>
    <row r="219" spans="1:11">
      <c r="A219" s="197" t="str">
        <f>IF(C$123&lt;18,"","8-107")</f>
        <v/>
      </c>
      <c r="B219" s="67" t="str">
        <f>IF(C$123&lt;18,"","通信ID 18　PCS型名")</f>
        <v/>
      </c>
      <c r="C219" s="288"/>
      <c r="D219" s="289"/>
      <c r="E219" s="289"/>
      <c r="F219" s="289"/>
      <c r="G219" s="289"/>
      <c r="H219" s="290"/>
      <c r="I219" s="245" t="str">
        <f>IF(B219="","",IF(データ抽出!E219="","",データ抽出!E219))</f>
        <v/>
      </c>
      <c r="J219" s="91" t="str">
        <f>IF(データ抽出!F219="","",データ抽出!F219)</f>
        <v/>
      </c>
      <c r="K219" s="113" t="str">
        <f>IF(A219="","","リストより選択　オプション部分の型名は問いません")</f>
        <v/>
      </c>
    </row>
    <row r="220" spans="1:11">
      <c r="A220" s="196" t="str">
        <f>IF(C$123&lt;18,"","8-108")</f>
        <v/>
      </c>
      <c r="B220" s="53" t="str">
        <f>IF(C$123&lt;18,"","通信ID 18　PCS製造番号")</f>
        <v/>
      </c>
      <c r="C220" s="282"/>
      <c r="D220" s="283"/>
      <c r="E220" s="283"/>
      <c r="F220" s="283"/>
      <c r="G220" s="283"/>
      <c r="H220" s="284"/>
      <c r="I220" s="253" t="str">
        <f>IF(B220="","",IF(データ抽出!E220="","",データ抽出!E220))</f>
        <v/>
      </c>
      <c r="J220" s="92" t="str">
        <f>IF(データ抽出!F220="","",データ抽出!F220)</f>
        <v/>
      </c>
      <c r="K220" s="63" t="str">
        <f>IF(A220="","","設置前等で不明な場合を除き、登録願います")</f>
        <v/>
      </c>
    </row>
    <row r="221" spans="1:11">
      <c r="A221" s="196" t="str">
        <f>IF(C$123&lt;18,"","8-109")</f>
        <v/>
      </c>
      <c r="B221" s="53" t="str">
        <f>IF(C$123&lt;18,"","通信ID 18　接続パネル合計枚数、直・並列枚数")</f>
        <v/>
      </c>
      <c r="C221" s="225" t="str">
        <f t="shared" si="11"/>
        <v/>
      </c>
      <c r="D221" s="215"/>
      <c r="E221" s="226" t="str">
        <f t="shared" si="12"/>
        <v/>
      </c>
      <c r="F221" s="215"/>
      <c r="G221" s="226" t="str">
        <f t="shared" si="13"/>
        <v/>
      </c>
      <c r="H221" s="215"/>
      <c r="I221" s="454" t="str">
        <f>IF(B221="","",IF(データ抽出!E221="","",データ抽出!E221))</f>
        <v/>
      </c>
      <c r="J221" s="455"/>
      <c r="K221" s="63" t="str">
        <f>IF(A221="","","必須以外の場合も、より正確な監視のために登録をお勧めします")</f>
        <v/>
      </c>
    </row>
    <row r="222" spans="1:11">
      <c r="A222" s="196" t="str">
        <f>IF(C$123&lt;18,"","8-110")</f>
        <v/>
      </c>
      <c r="B222" s="53" t="str">
        <f>IF(C$123&lt;18,"","通信ID 18　発電所区画No　※１７")</f>
        <v/>
      </c>
      <c r="C222" s="282"/>
      <c r="D222" s="283"/>
      <c r="E222" s="283"/>
      <c r="F222" s="283"/>
      <c r="G222" s="283"/>
      <c r="H222" s="284"/>
      <c r="I222" s="240" t="str">
        <f>IF(B222="","",IF(データ抽出!E222="","",データ抽出!E222))</f>
        <v/>
      </c>
      <c r="J222" s="92" t="str">
        <f>IF(C222="","",IF(データ抽出!F222="","",データ抽出!F222))</f>
        <v/>
      </c>
      <c r="K222" s="63" t="str">
        <f>IF(A222="","","5項［発電所情報］の区画番号（1～8）を記入ください")</f>
        <v/>
      </c>
    </row>
    <row r="223" spans="1:11">
      <c r="A223" s="209" t="str">
        <f>IF(C$123&lt;18,"",IF(C$131="無し","","8-111"))</f>
        <v/>
      </c>
      <c r="B223" s="64" t="str">
        <f>IF(C$123&lt;18,"",IF(C$131="無し","","通信ID 18　PCS毎の出力制御設定　※１８"))</f>
        <v/>
      </c>
      <c r="C223" s="291"/>
      <c r="D223" s="292"/>
      <c r="E223" s="292"/>
      <c r="F223" s="292"/>
      <c r="G223" s="292"/>
      <c r="H223" s="293"/>
      <c r="I223" s="244" t="str">
        <f>IF(B223="","",IF(データ抽出!E223="","",データ抽出!E223))</f>
        <v/>
      </c>
      <c r="J223" s="93" t="str">
        <f>IF(データ抽出!F223="","",データ抽出!F223)</f>
        <v/>
      </c>
      <c r="K223" s="114" t="str">
        <f>IF(A223="","","リストより選択")</f>
        <v/>
      </c>
    </row>
    <row r="224" spans="1:11">
      <c r="A224" s="210" t="str">
        <f>IF(C$123&lt;19,"","8-112")</f>
        <v/>
      </c>
      <c r="B224" s="65" t="str">
        <f>IF(C$123&lt;19,"","通信ID 19　PCS型名")</f>
        <v/>
      </c>
      <c r="C224" s="288"/>
      <c r="D224" s="289"/>
      <c r="E224" s="289"/>
      <c r="F224" s="289"/>
      <c r="G224" s="289"/>
      <c r="H224" s="290"/>
      <c r="I224" s="245" t="str">
        <f>IF(B224="","",IF(データ抽出!E224="","",データ抽出!E224))</f>
        <v/>
      </c>
      <c r="J224" s="91" t="str">
        <f>IF(データ抽出!F224="","",データ抽出!F224)</f>
        <v/>
      </c>
      <c r="K224" s="113" t="str">
        <f>IF(A224="","","リストより選択　オプション部分の型名は問いません")</f>
        <v/>
      </c>
    </row>
    <row r="225" spans="1:11">
      <c r="A225" s="196" t="str">
        <f>IF(C$123&lt;19,"","8-113")</f>
        <v/>
      </c>
      <c r="B225" s="53" t="str">
        <f>IF(C$123&lt;19,"","通信ID 19　PCS製造番号")</f>
        <v/>
      </c>
      <c r="C225" s="282"/>
      <c r="D225" s="283"/>
      <c r="E225" s="283"/>
      <c r="F225" s="283"/>
      <c r="G225" s="283"/>
      <c r="H225" s="284"/>
      <c r="I225" s="253" t="str">
        <f>IF(B225="","",IF(データ抽出!E225="","",データ抽出!E225))</f>
        <v/>
      </c>
      <c r="J225" s="92" t="str">
        <f>IF(データ抽出!F225="","",データ抽出!F225)</f>
        <v/>
      </c>
      <c r="K225" s="63" t="str">
        <f>IF(A225="","","設置前等で不明な場合を除き、登録願います")</f>
        <v/>
      </c>
    </row>
    <row r="226" spans="1:11">
      <c r="A226" s="196" t="str">
        <f>IF(C$123&lt;19,"","8-114")</f>
        <v/>
      </c>
      <c r="B226" s="53" t="str">
        <f>IF(C$123&lt;19,"","通信ID 19　接続パネル合計枚数、直・並列枚数")</f>
        <v/>
      </c>
      <c r="C226" s="225" t="str">
        <f t="shared" si="11"/>
        <v/>
      </c>
      <c r="D226" s="215"/>
      <c r="E226" s="226" t="str">
        <f t="shared" si="12"/>
        <v/>
      </c>
      <c r="F226" s="215"/>
      <c r="G226" s="226" t="str">
        <f t="shared" si="13"/>
        <v/>
      </c>
      <c r="H226" s="215"/>
      <c r="I226" s="454" t="str">
        <f>IF(B226="","",IF(データ抽出!E226="","",データ抽出!E226))</f>
        <v/>
      </c>
      <c r="J226" s="455"/>
      <c r="K226" s="63" t="str">
        <f>IF(A226="","","必須以外の場合も、より正確な監視のために登録をお勧めします")</f>
        <v/>
      </c>
    </row>
    <row r="227" spans="1:11">
      <c r="A227" s="196" t="str">
        <f>IF(C$123&lt;19,"","8-115")</f>
        <v/>
      </c>
      <c r="B227" s="53" t="str">
        <f>IF(C$123&lt;19,"","通信ID 19　発電所区画No　※１７")</f>
        <v/>
      </c>
      <c r="C227" s="282"/>
      <c r="D227" s="283"/>
      <c r="E227" s="283"/>
      <c r="F227" s="283"/>
      <c r="G227" s="283"/>
      <c r="H227" s="284"/>
      <c r="I227" s="240" t="str">
        <f>IF(B227="","",IF(データ抽出!E227="","",データ抽出!E227))</f>
        <v/>
      </c>
      <c r="J227" s="92" t="str">
        <f>IF(C227="","",IF(データ抽出!F227="","",データ抽出!F227))</f>
        <v/>
      </c>
      <c r="K227" s="63" t="str">
        <f>IF(A227="","","5項［発電所情報］の区画番号（1～8）を記入ください")</f>
        <v/>
      </c>
    </row>
    <row r="228" spans="1:11">
      <c r="A228" s="198" t="str">
        <f>IF(C$123&lt;19,"",IF(C$131="無し","","8-116"))</f>
        <v/>
      </c>
      <c r="B228" s="66" t="str">
        <f>IF(C$123&lt;19,"",IF(C$131="無し","","通信ID 19　PCS毎の出力制御設定　※１８"))</f>
        <v/>
      </c>
      <c r="C228" s="291"/>
      <c r="D228" s="292"/>
      <c r="E228" s="292"/>
      <c r="F228" s="292"/>
      <c r="G228" s="292"/>
      <c r="H228" s="293"/>
      <c r="I228" s="244" t="str">
        <f>IF(B228="","",IF(データ抽出!E228="","",データ抽出!E228))</f>
        <v/>
      </c>
      <c r="J228" s="93" t="str">
        <f>IF(データ抽出!F228="","",データ抽出!F228)</f>
        <v/>
      </c>
      <c r="K228" s="114" t="str">
        <f>IF(A228="","","リストより選択")</f>
        <v/>
      </c>
    </row>
    <row r="229" spans="1:11">
      <c r="A229" s="197" t="str">
        <f>IF(C$123&lt;20,"","8-117")</f>
        <v/>
      </c>
      <c r="B229" s="67" t="str">
        <f>IF(C$123&lt;20,"","通信ID 20　PCS型名")</f>
        <v/>
      </c>
      <c r="C229" s="288"/>
      <c r="D229" s="289"/>
      <c r="E229" s="289"/>
      <c r="F229" s="289"/>
      <c r="G229" s="289"/>
      <c r="H229" s="290"/>
      <c r="I229" s="245" t="str">
        <f>IF(B229="","",IF(データ抽出!E229="","",データ抽出!E229))</f>
        <v/>
      </c>
      <c r="J229" s="91" t="str">
        <f>IF(データ抽出!F229="","",データ抽出!F229)</f>
        <v/>
      </c>
      <c r="K229" s="113" t="str">
        <f>IF(A229="","","リストより選択　オプション部分の型名は問いません")</f>
        <v/>
      </c>
    </row>
    <row r="230" spans="1:11">
      <c r="A230" s="196" t="str">
        <f>IF(C$123&lt;20,"","8-118")</f>
        <v/>
      </c>
      <c r="B230" s="53" t="str">
        <f>IF(C$123&lt;20,"","通信ID 20　PCS製造番号")</f>
        <v/>
      </c>
      <c r="C230" s="282"/>
      <c r="D230" s="283"/>
      <c r="E230" s="283"/>
      <c r="F230" s="283"/>
      <c r="G230" s="283"/>
      <c r="H230" s="284"/>
      <c r="I230" s="253" t="str">
        <f>IF(B230="","",IF(データ抽出!E230="","",データ抽出!E230))</f>
        <v/>
      </c>
      <c r="J230" s="92" t="str">
        <f>IF(データ抽出!F230="","",データ抽出!F230)</f>
        <v/>
      </c>
      <c r="K230" s="63" t="str">
        <f>IF(A230="","","設置前等で不明な場合を除き、登録願います")</f>
        <v/>
      </c>
    </row>
    <row r="231" spans="1:11">
      <c r="A231" s="196" t="str">
        <f>IF(C$123&lt;20,"","8-119")</f>
        <v/>
      </c>
      <c r="B231" s="53" t="str">
        <f>IF(C$123&lt;20,"","通信ID 20　接続パネル合計枚数、直・並列枚数")</f>
        <v/>
      </c>
      <c r="C231" s="225" t="str">
        <f t="shared" si="11"/>
        <v/>
      </c>
      <c r="D231" s="215"/>
      <c r="E231" s="226" t="str">
        <f t="shared" si="12"/>
        <v/>
      </c>
      <c r="F231" s="215"/>
      <c r="G231" s="226" t="str">
        <f t="shared" si="13"/>
        <v/>
      </c>
      <c r="H231" s="215"/>
      <c r="I231" s="454" t="str">
        <f>IF(B231="","",IF(データ抽出!E231="","",データ抽出!E231))</f>
        <v/>
      </c>
      <c r="J231" s="455"/>
      <c r="K231" s="63" t="str">
        <f>IF(A231="","","必須以外の場合も、より正確な監視のために登録をお勧めします")</f>
        <v/>
      </c>
    </row>
    <row r="232" spans="1:11">
      <c r="A232" s="196" t="str">
        <f>IF(C$123&lt;20,"","8-120")</f>
        <v/>
      </c>
      <c r="B232" s="53" t="str">
        <f>IF(C$123&lt;20,"","通信ID 20　発電所区画No　※１７")</f>
        <v/>
      </c>
      <c r="C232" s="282"/>
      <c r="D232" s="283"/>
      <c r="E232" s="283"/>
      <c r="F232" s="283"/>
      <c r="G232" s="283"/>
      <c r="H232" s="284"/>
      <c r="I232" s="240" t="str">
        <f>IF(B232="","",IF(データ抽出!E232="","",データ抽出!E232))</f>
        <v/>
      </c>
      <c r="J232" s="92" t="str">
        <f>IF(C232="","",IF(データ抽出!F232="","",データ抽出!F232))</f>
        <v/>
      </c>
      <c r="K232" s="63" t="str">
        <f>IF(A232="","","5項［発電所情報］の区画番号（1～8）を記入ください")</f>
        <v/>
      </c>
    </row>
    <row r="233" spans="1:11">
      <c r="A233" s="209" t="str">
        <f>IF(C$123&lt;20,"",IF(C$131="無し","","8-121"))</f>
        <v/>
      </c>
      <c r="B233" s="64" t="str">
        <f>IF(C$123&lt;20,"",IF(C$131="無し","","通信ID 20　PCS毎の出力制御設定　※１８"))</f>
        <v/>
      </c>
      <c r="C233" s="291"/>
      <c r="D233" s="292"/>
      <c r="E233" s="292"/>
      <c r="F233" s="292"/>
      <c r="G233" s="292"/>
      <c r="H233" s="293"/>
      <c r="I233" s="244" t="str">
        <f>IF(B233="","",IF(データ抽出!E233="","",データ抽出!E233))</f>
        <v/>
      </c>
      <c r="J233" s="93" t="str">
        <f>IF(データ抽出!F233="","",データ抽出!F233)</f>
        <v/>
      </c>
      <c r="K233" s="114" t="str">
        <f>IF(A233="","","リストより選択")</f>
        <v/>
      </c>
    </row>
    <row r="234" spans="1:11">
      <c r="A234" s="210" t="str">
        <f>IF(C$123&lt;21,"","8-122")</f>
        <v/>
      </c>
      <c r="B234" s="65" t="str">
        <f>IF(C$123&lt;21,"","通信ID 21　PCS型名")</f>
        <v/>
      </c>
      <c r="C234" s="288"/>
      <c r="D234" s="289"/>
      <c r="E234" s="289"/>
      <c r="F234" s="289"/>
      <c r="G234" s="289"/>
      <c r="H234" s="290"/>
      <c r="I234" s="245" t="str">
        <f>IF(B234="","",IF(データ抽出!E234="","",データ抽出!E234))</f>
        <v/>
      </c>
      <c r="J234" s="91" t="str">
        <f>IF(データ抽出!F234="","",データ抽出!F234)</f>
        <v/>
      </c>
      <c r="K234" s="113" t="str">
        <f>IF(A234="","","リストより選択　オプション部分の型名は問いません")</f>
        <v/>
      </c>
    </row>
    <row r="235" spans="1:11">
      <c r="A235" s="196" t="str">
        <f>IF(C$123&lt;21,"","8-123")</f>
        <v/>
      </c>
      <c r="B235" s="53" t="str">
        <f>IF(C$123&lt;21,"","通信ID 21　PCS製造番号")</f>
        <v/>
      </c>
      <c r="C235" s="282"/>
      <c r="D235" s="283"/>
      <c r="E235" s="283"/>
      <c r="F235" s="283"/>
      <c r="G235" s="283"/>
      <c r="H235" s="284"/>
      <c r="I235" s="253" t="str">
        <f>IF(B235="","",IF(データ抽出!E235="","",データ抽出!E235))</f>
        <v/>
      </c>
      <c r="J235" s="92" t="str">
        <f>IF(データ抽出!F235="","",データ抽出!F235)</f>
        <v/>
      </c>
      <c r="K235" s="63" t="str">
        <f>IF(A235="","","設置前等で不明な場合を除き、登録願います")</f>
        <v/>
      </c>
    </row>
    <row r="236" spans="1:11">
      <c r="A236" s="196" t="str">
        <f>IF(C$123&lt;21,"","8-124")</f>
        <v/>
      </c>
      <c r="B236" s="53" t="str">
        <f>IF(C$123&lt;21,"","通信ID 21　接続パネル合計枚数、直・並列枚数")</f>
        <v/>
      </c>
      <c r="C236" s="225" t="str">
        <f t="shared" si="11"/>
        <v/>
      </c>
      <c r="D236" s="215"/>
      <c r="E236" s="226" t="str">
        <f t="shared" si="12"/>
        <v/>
      </c>
      <c r="F236" s="215"/>
      <c r="G236" s="226" t="str">
        <f t="shared" si="13"/>
        <v/>
      </c>
      <c r="H236" s="215"/>
      <c r="I236" s="454" t="str">
        <f>IF(B236="","",IF(データ抽出!E236="","",データ抽出!E236))</f>
        <v/>
      </c>
      <c r="J236" s="455"/>
      <c r="K236" s="63" t="str">
        <f>IF(A236="","","必須以外の場合も、より正確な監視のために登録をお勧めします")</f>
        <v/>
      </c>
    </row>
    <row r="237" spans="1:11">
      <c r="A237" s="196" t="str">
        <f>IF(C$123&lt;21,"","8-125")</f>
        <v/>
      </c>
      <c r="B237" s="53" t="str">
        <f>IF(C$123&lt;21,"","通信ID 21　発電所区画No　※１７")</f>
        <v/>
      </c>
      <c r="C237" s="282"/>
      <c r="D237" s="283"/>
      <c r="E237" s="283"/>
      <c r="F237" s="283"/>
      <c r="G237" s="283"/>
      <c r="H237" s="284"/>
      <c r="I237" s="240" t="str">
        <f>IF(B237="","",IF(データ抽出!E237="","",データ抽出!E237))</f>
        <v/>
      </c>
      <c r="J237" s="92" t="str">
        <f>IF(C237="","",IF(データ抽出!F237="","",データ抽出!F237))</f>
        <v/>
      </c>
      <c r="K237" s="63" t="str">
        <f>IF(A237="","","5項［発電所情報］の区画番号（1～8）を記入ください")</f>
        <v/>
      </c>
    </row>
    <row r="238" spans="1:11">
      <c r="A238" s="198" t="str">
        <f>IF(C$123&lt;21,"",IF(C$131="無し","","8-126"))</f>
        <v/>
      </c>
      <c r="B238" s="66" t="str">
        <f>IF(C$123&lt;21,"",IF(C$131="無し","","通信ID 21　PCS毎の出力制御設定　※１８"))</f>
        <v/>
      </c>
      <c r="C238" s="291"/>
      <c r="D238" s="292"/>
      <c r="E238" s="292"/>
      <c r="F238" s="292"/>
      <c r="G238" s="292"/>
      <c r="H238" s="293"/>
      <c r="I238" s="244" t="str">
        <f>IF(B238="","",IF(データ抽出!E238="","",データ抽出!E238))</f>
        <v/>
      </c>
      <c r="J238" s="93" t="str">
        <f>IF(データ抽出!F238="","",データ抽出!F238)</f>
        <v/>
      </c>
      <c r="K238" s="114" t="str">
        <f>IF(A238="","","リストより選択")</f>
        <v/>
      </c>
    </row>
    <row r="239" spans="1:11">
      <c r="A239" s="197" t="str">
        <f>IF(C$123&lt;22,"","8-127")</f>
        <v/>
      </c>
      <c r="B239" s="67" t="str">
        <f>IF(C$123&lt;22,"","通信ID 22　PCS型名")</f>
        <v/>
      </c>
      <c r="C239" s="288"/>
      <c r="D239" s="289"/>
      <c r="E239" s="289"/>
      <c r="F239" s="289"/>
      <c r="G239" s="289"/>
      <c r="H239" s="290"/>
      <c r="I239" s="245" t="str">
        <f>IF(B239="","",IF(データ抽出!E239="","",データ抽出!E239))</f>
        <v/>
      </c>
      <c r="J239" s="91" t="str">
        <f>IF(データ抽出!F239="","",データ抽出!F239)</f>
        <v/>
      </c>
      <c r="K239" s="113" t="str">
        <f>IF(A239="","","リストより選択　オプション部分の型名は問いません")</f>
        <v/>
      </c>
    </row>
    <row r="240" spans="1:11">
      <c r="A240" s="196" t="str">
        <f>IF(C$123&lt;22,"","8-128")</f>
        <v/>
      </c>
      <c r="B240" s="53" t="str">
        <f>IF(C$123&lt;22,"","通信ID 22　PCS製造番号")</f>
        <v/>
      </c>
      <c r="C240" s="282"/>
      <c r="D240" s="283"/>
      <c r="E240" s="283"/>
      <c r="F240" s="283"/>
      <c r="G240" s="283"/>
      <c r="H240" s="284"/>
      <c r="I240" s="253" t="str">
        <f>IF(B240="","",IF(データ抽出!E240="","",データ抽出!E240))</f>
        <v/>
      </c>
      <c r="J240" s="92" t="str">
        <f>IF(データ抽出!F240="","",データ抽出!F240)</f>
        <v/>
      </c>
      <c r="K240" s="63" t="str">
        <f>IF(A240="","","設置前等で不明な場合を除き、登録願います")</f>
        <v/>
      </c>
    </row>
    <row r="241" spans="1:11">
      <c r="A241" s="196" t="str">
        <f>IF(C$123&lt;22,"","8-129")</f>
        <v/>
      </c>
      <c r="B241" s="53" t="str">
        <f>IF(C$123&lt;22,"","通信ID 22　接続パネル合計枚数、直・並列枚数")</f>
        <v/>
      </c>
      <c r="C241" s="225" t="str">
        <f t="shared" si="11"/>
        <v/>
      </c>
      <c r="D241" s="215"/>
      <c r="E241" s="226" t="str">
        <f t="shared" si="12"/>
        <v/>
      </c>
      <c r="F241" s="215"/>
      <c r="G241" s="226" t="str">
        <f t="shared" si="13"/>
        <v/>
      </c>
      <c r="H241" s="215"/>
      <c r="I241" s="454" t="str">
        <f>IF(B241="","",IF(データ抽出!E241="","",データ抽出!E241))</f>
        <v/>
      </c>
      <c r="J241" s="455"/>
      <c r="K241" s="63" t="str">
        <f>IF(A241="","","必須以外の場合も、より正確な監視のために登録をお勧めします")</f>
        <v/>
      </c>
    </row>
    <row r="242" spans="1:11">
      <c r="A242" s="196" t="str">
        <f>IF(C$123&lt;22,"","8-130")</f>
        <v/>
      </c>
      <c r="B242" s="53" t="str">
        <f>IF(C$123&lt;22,"","通信ID 22　発電所区画No　※１７")</f>
        <v/>
      </c>
      <c r="C242" s="282"/>
      <c r="D242" s="283"/>
      <c r="E242" s="283"/>
      <c r="F242" s="283"/>
      <c r="G242" s="283"/>
      <c r="H242" s="284"/>
      <c r="I242" s="240" t="str">
        <f>IF(B242="","",IF(データ抽出!E242="","",データ抽出!E242))</f>
        <v/>
      </c>
      <c r="J242" s="92" t="str">
        <f>IF(C242="","",IF(データ抽出!F242="","",データ抽出!F242))</f>
        <v/>
      </c>
      <c r="K242" s="63" t="str">
        <f>IF(A242="","","5項［発電所情報］の区画番号（1～8）を記入ください")</f>
        <v/>
      </c>
    </row>
    <row r="243" spans="1:11">
      <c r="A243" s="209" t="str">
        <f>IF(C$123&lt;22,"",IF(C$131="無し","","8-131"))</f>
        <v/>
      </c>
      <c r="B243" s="64" t="str">
        <f>IF(C$123&lt;22,"",IF(C$131="無し","","通信ID 22　PCS毎の出力制御設定　※１８"))</f>
        <v/>
      </c>
      <c r="C243" s="291"/>
      <c r="D243" s="292"/>
      <c r="E243" s="292"/>
      <c r="F243" s="292"/>
      <c r="G243" s="292"/>
      <c r="H243" s="293"/>
      <c r="I243" s="244" t="str">
        <f>IF(B243="","",IF(データ抽出!E243="","",データ抽出!E243))</f>
        <v/>
      </c>
      <c r="J243" s="93" t="str">
        <f>IF(データ抽出!F243="","",データ抽出!F243)</f>
        <v/>
      </c>
      <c r="K243" s="114" t="str">
        <f>IF(A243="","","リストより選択")</f>
        <v/>
      </c>
    </row>
    <row r="244" spans="1:11">
      <c r="A244" s="210" t="str">
        <f>IF(C$123&lt;23,"","8-132")</f>
        <v/>
      </c>
      <c r="B244" s="65" t="str">
        <f>IF(C$123&lt;23,"","通信ID 23　PCS型名")</f>
        <v/>
      </c>
      <c r="C244" s="288"/>
      <c r="D244" s="289"/>
      <c r="E244" s="289"/>
      <c r="F244" s="289"/>
      <c r="G244" s="289"/>
      <c r="H244" s="290"/>
      <c r="I244" s="245" t="str">
        <f>IF(B244="","",IF(データ抽出!E244="","",データ抽出!E244))</f>
        <v/>
      </c>
      <c r="J244" s="91" t="str">
        <f>IF(データ抽出!F244="","",データ抽出!F244)</f>
        <v/>
      </c>
      <c r="K244" s="113" t="str">
        <f>IF(A244="","","リストより選択　オプション部分の型名は問いません")</f>
        <v/>
      </c>
    </row>
    <row r="245" spans="1:11">
      <c r="A245" s="196" t="str">
        <f>IF(C$123&lt;23,"","8-133")</f>
        <v/>
      </c>
      <c r="B245" s="53" t="str">
        <f>IF(C$123&lt;23,"","通信ID 23　PCS製造番号")</f>
        <v/>
      </c>
      <c r="C245" s="282"/>
      <c r="D245" s="283"/>
      <c r="E245" s="283"/>
      <c r="F245" s="283"/>
      <c r="G245" s="283"/>
      <c r="H245" s="284"/>
      <c r="I245" s="253" t="str">
        <f>IF(B245="","",IF(データ抽出!E245="","",データ抽出!E245))</f>
        <v/>
      </c>
      <c r="J245" s="92" t="str">
        <f>IF(データ抽出!F245="","",データ抽出!F245)</f>
        <v/>
      </c>
      <c r="K245" s="63" t="str">
        <f>IF(A245="","","設置前等で不明な場合を除き、登録願います")</f>
        <v/>
      </c>
    </row>
    <row r="246" spans="1:11">
      <c r="A246" s="196" t="str">
        <f>IF(C$123&lt;23,"","8-134")</f>
        <v/>
      </c>
      <c r="B246" s="53" t="str">
        <f>IF(C$123&lt;23,"","通信ID 23　接続パネル合計枚数、直・並列枚数")</f>
        <v/>
      </c>
      <c r="C246" s="225" t="str">
        <f t="shared" si="11"/>
        <v/>
      </c>
      <c r="D246" s="215"/>
      <c r="E246" s="226" t="str">
        <f t="shared" si="12"/>
        <v/>
      </c>
      <c r="F246" s="215"/>
      <c r="G246" s="226" t="str">
        <f t="shared" si="13"/>
        <v/>
      </c>
      <c r="H246" s="215"/>
      <c r="I246" s="454" t="str">
        <f>IF(B246="","",IF(データ抽出!E246="","",データ抽出!E246))</f>
        <v/>
      </c>
      <c r="J246" s="455"/>
      <c r="K246" s="63" t="str">
        <f>IF(A246="","","必須以外の場合も、より正確な監視のために登録をお勧めします")</f>
        <v/>
      </c>
    </row>
    <row r="247" spans="1:11">
      <c r="A247" s="196" t="str">
        <f>IF(C$123&lt;23,"","8-135")</f>
        <v/>
      </c>
      <c r="B247" s="53" t="str">
        <f>IF(C$123&lt;23,"","通信ID 23　発電所区画No　※１７")</f>
        <v/>
      </c>
      <c r="C247" s="282"/>
      <c r="D247" s="283"/>
      <c r="E247" s="283"/>
      <c r="F247" s="283"/>
      <c r="G247" s="283"/>
      <c r="H247" s="284"/>
      <c r="I247" s="240" t="str">
        <f>IF(B247="","",IF(データ抽出!E247="","",データ抽出!E247))</f>
        <v/>
      </c>
      <c r="J247" s="92" t="str">
        <f>IF(C247="","",IF(データ抽出!F247="","",データ抽出!F247))</f>
        <v/>
      </c>
      <c r="K247" s="63" t="str">
        <f>IF(A247="","","5項［発電所情報］の区画番号（1～8）を記入ください")</f>
        <v/>
      </c>
    </row>
    <row r="248" spans="1:11">
      <c r="A248" s="198" t="str">
        <f>IF(C$123&lt;23,"",IF(C$131="無し","","8-136"))</f>
        <v/>
      </c>
      <c r="B248" s="66" t="str">
        <f>IF(C$123&lt;23,"",IF(C$131="無し","","通信ID 23　PCS毎の出力制御設定　※１８"))</f>
        <v/>
      </c>
      <c r="C248" s="291"/>
      <c r="D248" s="292"/>
      <c r="E248" s="292"/>
      <c r="F248" s="292"/>
      <c r="G248" s="292"/>
      <c r="H248" s="293"/>
      <c r="I248" s="244" t="str">
        <f>IF(B248="","",IF(データ抽出!E248="","",データ抽出!E248))</f>
        <v/>
      </c>
      <c r="J248" s="93" t="str">
        <f>IF(データ抽出!F248="","",データ抽出!F248)</f>
        <v/>
      </c>
      <c r="K248" s="114" t="str">
        <f>IF(A248="","","リストより選択")</f>
        <v/>
      </c>
    </row>
    <row r="249" spans="1:11">
      <c r="A249" s="197" t="str">
        <f>IF(C$123&lt;24,"","8-137")</f>
        <v/>
      </c>
      <c r="B249" s="67" t="str">
        <f>IF(C$123&lt;24,"","通信ID 24　PCS型名")</f>
        <v/>
      </c>
      <c r="C249" s="288"/>
      <c r="D249" s="289"/>
      <c r="E249" s="289"/>
      <c r="F249" s="289"/>
      <c r="G249" s="289"/>
      <c r="H249" s="290"/>
      <c r="I249" s="245" t="str">
        <f>IF(B249="","",IF(データ抽出!E249="","",データ抽出!E249))</f>
        <v/>
      </c>
      <c r="J249" s="91" t="str">
        <f>IF(データ抽出!F249="","",データ抽出!F249)</f>
        <v/>
      </c>
      <c r="K249" s="113" t="str">
        <f>IF(A249="","","リストより選択　オプション部分の型名は問いません")</f>
        <v/>
      </c>
    </row>
    <row r="250" spans="1:11">
      <c r="A250" s="196" t="str">
        <f>IF(C$123&lt;24,"","8-138")</f>
        <v/>
      </c>
      <c r="B250" s="53" t="str">
        <f>IF(C$123&lt;24,"","通信ID 24　PCS製造番号")</f>
        <v/>
      </c>
      <c r="C250" s="282"/>
      <c r="D250" s="283"/>
      <c r="E250" s="283"/>
      <c r="F250" s="283"/>
      <c r="G250" s="283"/>
      <c r="H250" s="284"/>
      <c r="I250" s="253" t="str">
        <f>IF(B250="","",IF(データ抽出!E250="","",データ抽出!E250))</f>
        <v/>
      </c>
      <c r="J250" s="92" t="str">
        <f>IF(データ抽出!F250="","",データ抽出!F250)</f>
        <v/>
      </c>
      <c r="K250" s="63" t="str">
        <f>IF(A250="","","設置前等で不明な場合を除き、登録願います")</f>
        <v/>
      </c>
    </row>
    <row r="251" spans="1:11">
      <c r="A251" s="196" t="str">
        <f>IF(C$123&lt;24,"","8-139")</f>
        <v/>
      </c>
      <c r="B251" s="53" t="str">
        <f>IF(C$123&lt;24,"","通信ID 24　接続パネル合計枚数、直・並列枚数")</f>
        <v/>
      </c>
      <c r="C251" s="225" t="str">
        <f t="shared" si="11"/>
        <v/>
      </c>
      <c r="D251" s="215"/>
      <c r="E251" s="226" t="str">
        <f t="shared" si="12"/>
        <v/>
      </c>
      <c r="F251" s="215"/>
      <c r="G251" s="226" t="str">
        <f t="shared" si="13"/>
        <v/>
      </c>
      <c r="H251" s="215"/>
      <c r="I251" s="454" t="str">
        <f>IF(B251="","",IF(データ抽出!E251="","",データ抽出!E251))</f>
        <v/>
      </c>
      <c r="J251" s="455"/>
      <c r="K251" s="63" t="str">
        <f>IF(A251="","","必須以外の場合も、より正確な監視のために登録をお勧めします")</f>
        <v/>
      </c>
    </row>
    <row r="252" spans="1:11">
      <c r="A252" s="196" t="str">
        <f>IF(C$123&lt;24,"","8-140")</f>
        <v/>
      </c>
      <c r="B252" s="53" t="str">
        <f>IF(C$123&lt;24,"","通信ID 24　発電所区画No　※１７")</f>
        <v/>
      </c>
      <c r="C252" s="282"/>
      <c r="D252" s="283"/>
      <c r="E252" s="283"/>
      <c r="F252" s="283"/>
      <c r="G252" s="283"/>
      <c r="H252" s="284"/>
      <c r="I252" s="240" t="str">
        <f>IF(B252="","",IF(データ抽出!E252="","",データ抽出!E252))</f>
        <v/>
      </c>
      <c r="J252" s="92" t="str">
        <f>IF(C252="","",IF(データ抽出!F252="","",データ抽出!F252))</f>
        <v/>
      </c>
      <c r="K252" s="63" t="str">
        <f>IF(A252="","","5項［発電所情報］の区画番号（1～8）を記入ください")</f>
        <v/>
      </c>
    </row>
    <row r="253" spans="1:11">
      <c r="A253" s="198" t="str">
        <f>IF(C$123&lt;24,"",IF(C$131="無し","","8-141"))</f>
        <v/>
      </c>
      <c r="B253" s="66" t="str">
        <f>IF(C$123&lt;24,"",IF(C$131="無し","","通信ID 24　PCS毎の出力制御設定　※１８"))</f>
        <v/>
      </c>
      <c r="C253" s="291"/>
      <c r="D253" s="292"/>
      <c r="E253" s="292"/>
      <c r="F253" s="292"/>
      <c r="G253" s="292"/>
      <c r="H253" s="293"/>
      <c r="I253" s="244" t="str">
        <f>IF(B253="","",IF(データ抽出!E253="","",データ抽出!E253))</f>
        <v/>
      </c>
      <c r="J253" s="93" t="str">
        <f>IF(データ抽出!F253="","",データ抽出!F253)</f>
        <v/>
      </c>
      <c r="K253" s="114" t="str">
        <f>IF(A253="","","リストより選択")</f>
        <v/>
      </c>
    </row>
    <row r="254" spans="1:11">
      <c r="A254" s="210" t="str">
        <f>IF(C$123&lt;25,"","8-142")</f>
        <v/>
      </c>
      <c r="B254" s="65" t="str">
        <f>IF(C$123&lt;25,"","通信ID 25　PCS型名")</f>
        <v/>
      </c>
      <c r="C254" s="288"/>
      <c r="D254" s="289"/>
      <c r="E254" s="289"/>
      <c r="F254" s="289"/>
      <c r="G254" s="289"/>
      <c r="H254" s="290"/>
      <c r="I254" s="245" t="str">
        <f>IF(B254="","",IF(データ抽出!E254="","",データ抽出!E254))</f>
        <v/>
      </c>
      <c r="J254" s="91" t="str">
        <f>IF(データ抽出!F254="","",データ抽出!F254)</f>
        <v/>
      </c>
      <c r="K254" s="113" t="str">
        <f>IF(A254="","","リストより選択　オプション部分の型名は問いません")</f>
        <v/>
      </c>
    </row>
    <row r="255" spans="1:11">
      <c r="A255" s="196" t="str">
        <f>IF(C$123&lt;25,"","8-143")</f>
        <v/>
      </c>
      <c r="B255" s="53" t="str">
        <f>IF(C$123&lt;25,"","通信ID 25　PCS製造番号")</f>
        <v/>
      </c>
      <c r="C255" s="282"/>
      <c r="D255" s="283"/>
      <c r="E255" s="283"/>
      <c r="F255" s="283"/>
      <c r="G255" s="283"/>
      <c r="H255" s="284"/>
      <c r="I255" s="253" t="str">
        <f>IF(B255="","",IF(データ抽出!E255="","",データ抽出!E255))</f>
        <v/>
      </c>
      <c r="J255" s="92" t="str">
        <f>IF(データ抽出!F255="","",データ抽出!F255)</f>
        <v/>
      </c>
      <c r="K255" s="63" t="str">
        <f>IF(A255="","","設置前等で不明な場合を除き、登録願います")</f>
        <v/>
      </c>
    </row>
    <row r="256" spans="1:11">
      <c r="A256" s="196" t="str">
        <f>IF(C$123&lt;25,"","8-144")</f>
        <v/>
      </c>
      <c r="B256" s="53" t="str">
        <f>IF(C$123&lt;25,"","通信ID 25　接続パネル合計枚数、直・並列枚数")</f>
        <v/>
      </c>
      <c r="C256" s="225" t="str">
        <f t="shared" si="11"/>
        <v/>
      </c>
      <c r="D256" s="215"/>
      <c r="E256" s="226" t="str">
        <f t="shared" si="12"/>
        <v/>
      </c>
      <c r="F256" s="215"/>
      <c r="G256" s="226" t="str">
        <f t="shared" si="13"/>
        <v/>
      </c>
      <c r="H256" s="215"/>
      <c r="I256" s="454" t="str">
        <f>IF(B256="","",IF(データ抽出!E256="","",データ抽出!E256))</f>
        <v/>
      </c>
      <c r="J256" s="455"/>
      <c r="K256" s="63" t="str">
        <f>IF(A256="","","必須以外の場合も、より正確な監視のために登録をお勧めします")</f>
        <v/>
      </c>
    </row>
    <row r="257" spans="1:11">
      <c r="A257" s="196" t="str">
        <f>IF(C$123&lt;25,"","8-145")</f>
        <v/>
      </c>
      <c r="B257" s="53" t="str">
        <f>IF(C$123&lt;25,"","通信ID 25　発電所区画No　※１７")</f>
        <v/>
      </c>
      <c r="C257" s="282"/>
      <c r="D257" s="283"/>
      <c r="E257" s="283"/>
      <c r="F257" s="283"/>
      <c r="G257" s="283"/>
      <c r="H257" s="284"/>
      <c r="I257" s="240" t="str">
        <f>IF(B257="","",IF(データ抽出!E257="","",データ抽出!E257))</f>
        <v/>
      </c>
      <c r="J257" s="92" t="str">
        <f>IF(C257="","",IF(データ抽出!F257="","",データ抽出!F257))</f>
        <v/>
      </c>
      <c r="K257" s="63" t="str">
        <f>IF(A257="","","5項［発電所情報］の区画番号（1～8）を記入ください")</f>
        <v/>
      </c>
    </row>
    <row r="258" spans="1:11">
      <c r="A258" s="198" t="str">
        <f>IF(C$123&lt;25,"",IF(C$131="無し","","8-146"))</f>
        <v/>
      </c>
      <c r="B258" s="66" t="str">
        <f>IF(C$123&lt;25,"",IF(C$131="無し","","通信ID 25　PCS毎の出力制御設定　※１８"))</f>
        <v/>
      </c>
      <c r="C258" s="291"/>
      <c r="D258" s="292"/>
      <c r="E258" s="292"/>
      <c r="F258" s="292"/>
      <c r="G258" s="292"/>
      <c r="H258" s="293"/>
      <c r="I258" s="244" t="str">
        <f>IF(B258="","",IF(データ抽出!E258="","",データ抽出!E258))</f>
        <v/>
      </c>
      <c r="J258" s="93" t="str">
        <f>IF(データ抽出!F258="","",データ抽出!F258)</f>
        <v/>
      </c>
      <c r="K258" s="114" t="str">
        <f>IF(A258="","","リストより選択")</f>
        <v/>
      </c>
    </row>
    <row r="259" spans="1:11">
      <c r="A259" s="197" t="str">
        <f>IF(C$123&lt;26,"","8-147")</f>
        <v/>
      </c>
      <c r="B259" s="67" t="str">
        <f>IF(C$123&lt;26,"","通信ID 26　PCS型名")</f>
        <v/>
      </c>
      <c r="C259" s="288"/>
      <c r="D259" s="289"/>
      <c r="E259" s="289"/>
      <c r="F259" s="289"/>
      <c r="G259" s="289"/>
      <c r="H259" s="290"/>
      <c r="I259" s="245" t="str">
        <f>IF(B259="","",IF(データ抽出!E259="","",データ抽出!E259))</f>
        <v/>
      </c>
      <c r="J259" s="91" t="str">
        <f>IF(データ抽出!F259="","",データ抽出!F259)</f>
        <v/>
      </c>
      <c r="K259" s="113" t="str">
        <f>IF(A259="","","リストより選択　オプション部分の型名は問いません")</f>
        <v/>
      </c>
    </row>
    <row r="260" spans="1:11">
      <c r="A260" s="196" t="str">
        <f>IF(C$123&lt;26,"","8-148")</f>
        <v/>
      </c>
      <c r="B260" s="53" t="str">
        <f>IF(C$123&lt;26,"","通信ID 26　PCS製造番号")</f>
        <v/>
      </c>
      <c r="C260" s="282"/>
      <c r="D260" s="283"/>
      <c r="E260" s="283"/>
      <c r="F260" s="283"/>
      <c r="G260" s="283"/>
      <c r="H260" s="284"/>
      <c r="I260" s="253" t="str">
        <f>IF(B260="","",IF(データ抽出!E260="","",データ抽出!E260))</f>
        <v/>
      </c>
      <c r="J260" s="92" t="str">
        <f>IF(データ抽出!F260="","",データ抽出!F260)</f>
        <v/>
      </c>
      <c r="K260" s="63" t="str">
        <f>IF(A260="","","設置前等で不明な場合を除き、登録願います")</f>
        <v/>
      </c>
    </row>
    <row r="261" spans="1:11">
      <c r="A261" s="196" t="str">
        <f>IF(C$123&lt;26,"","8-149")</f>
        <v/>
      </c>
      <c r="B261" s="53" t="str">
        <f>IF(C$123&lt;26,"","通信ID 26　接続パネル合計枚数、直・並列枚数")</f>
        <v/>
      </c>
      <c r="C261" s="225" t="str">
        <f t="shared" si="11"/>
        <v/>
      </c>
      <c r="D261" s="215"/>
      <c r="E261" s="226" t="str">
        <f t="shared" si="12"/>
        <v/>
      </c>
      <c r="F261" s="215"/>
      <c r="G261" s="226" t="str">
        <f t="shared" si="13"/>
        <v/>
      </c>
      <c r="H261" s="215"/>
      <c r="I261" s="454" t="str">
        <f>IF(B261="","",IF(データ抽出!E261="","",データ抽出!E261))</f>
        <v/>
      </c>
      <c r="J261" s="455"/>
      <c r="K261" s="63" t="str">
        <f>IF(A261="","","必須以外の場合も、より正確な監視のために登録をお勧めします")</f>
        <v/>
      </c>
    </row>
    <row r="262" spans="1:11">
      <c r="A262" s="196" t="str">
        <f>IF(C$123&lt;26,"","8-150")</f>
        <v/>
      </c>
      <c r="B262" s="53" t="str">
        <f>IF(C$123&lt;26,"","通信ID 26　発電所区画No　※１７")</f>
        <v/>
      </c>
      <c r="C262" s="282"/>
      <c r="D262" s="283"/>
      <c r="E262" s="283"/>
      <c r="F262" s="283"/>
      <c r="G262" s="283"/>
      <c r="H262" s="284"/>
      <c r="I262" s="240" t="str">
        <f>IF(B262="","",IF(データ抽出!E262="","",データ抽出!E262))</f>
        <v/>
      </c>
      <c r="J262" s="92" t="str">
        <f>IF(C262="","",IF(データ抽出!F262="","",データ抽出!F262))</f>
        <v/>
      </c>
      <c r="K262" s="63" t="str">
        <f>IF(A262="","","5項［発電所情報］の区画番号（1～8）を記入ください")</f>
        <v/>
      </c>
    </row>
    <row r="263" spans="1:11">
      <c r="A263" s="209" t="str">
        <f>IF(C$123&lt;26,"",IF(C$131="無し","","8-151"))</f>
        <v/>
      </c>
      <c r="B263" s="64" t="str">
        <f>IF(C$123&lt;26,"",IF(C$131="無し","","通信ID 26　PCS毎の出力制御設定　※１８"))</f>
        <v/>
      </c>
      <c r="C263" s="291"/>
      <c r="D263" s="292"/>
      <c r="E263" s="292"/>
      <c r="F263" s="292"/>
      <c r="G263" s="292"/>
      <c r="H263" s="293"/>
      <c r="I263" s="244" t="str">
        <f>IF(B263="","",IF(データ抽出!E263="","",データ抽出!E263))</f>
        <v/>
      </c>
      <c r="J263" s="93" t="str">
        <f>IF(データ抽出!F263="","",データ抽出!F263)</f>
        <v/>
      </c>
      <c r="K263" s="114" t="str">
        <f>IF(A263="","","リストより選択")</f>
        <v/>
      </c>
    </row>
    <row r="264" spans="1:11">
      <c r="A264" s="210" t="str">
        <f>IF(C$123&lt;27,"","8-152")</f>
        <v/>
      </c>
      <c r="B264" s="65" t="str">
        <f>IF(C$123&lt;27,"","通信ID 27　PCS型名")</f>
        <v/>
      </c>
      <c r="C264" s="288"/>
      <c r="D264" s="289"/>
      <c r="E264" s="289"/>
      <c r="F264" s="289"/>
      <c r="G264" s="289"/>
      <c r="H264" s="290"/>
      <c r="I264" s="245" t="str">
        <f>IF(B264="","",IF(データ抽出!E264="","",データ抽出!E264))</f>
        <v/>
      </c>
      <c r="J264" s="91" t="str">
        <f>IF(データ抽出!F264="","",データ抽出!F264)</f>
        <v/>
      </c>
      <c r="K264" s="113" t="str">
        <f>IF(A264="","","リストより選択　オプション部分の型名は問いません")</f>
        <v/>
      </c>
    </row>
    <row r="265" spans="1:11">
      <c r="A265" s="196" t="str">
        <f>IF(C$123&lt;27,"","8-153")</f>
        <v/>
      </c>
      <c r="B265" s="53" t="str">
        <f>IF(C$123&lt;27,"","通信ID 27　PCS製造番号")</f>
        <v/>
      </c>
      <c r="C265" s="282"/>
      <c r="D265" s="283"/>
      <c r="E265" s="283"/>
      <c r="F265" s="283"/>
      <c r="G265" s="283"/>
      <c r="H265" s="284"/>
      <c r="I265" s="253" t="str">
        <f>IF(B265="","",IF(データ抽出!E265="","",データ抽出!E265))</f>
        <v/>
      </c>
      <c r="J265" s="92" t="str">
        <f>IF(データ抽出!F265="","",データ抽出!F265)</f>
        <v/>
      </c>
      <c r="K265" s="63" t="str">
        <f>IF(A265="","","設置前等で不明な場合を除き、登録願います")</f>
        <v/>
      </c>
    </row>
    <row r="266" spans="1:11">
      <c r="A266" s="196" t="str">
        <f>IF(C$123&lt;27,"","8-154")</f>
        <v/>
      </c>
      <c r="B266" s="53" t="str">
        <f>IF(C$123&lt;27,"","通信ID 27　接続パネル合計枚数、直・並列枚数")</f>
        <v/>
      </c>
      <c r="C266" s="225" t="str">
        <f t="shared" si="11"/>
        <v/>
      </c>
      <c r="D266" s="215"/>
      <c r="E266" s="226" t="str">
        <f t="shared" si="12"/>
        <v/>
      </c>
      <c r="F266" s="215"/>
      <c r="G266" s="226" t="str">
        <f t="shared" si="13"/>
        <v/>
      </c>
      <c r="H266" s="215"/>
      <c r="I266" s="454" t="str">
        <f>IF(B266="","",IF(データ抽出!E266="","",データ抽出!E266))</f>
        <v/>
      </c>
      <c r="J266" s="455"/>
      <c r="K266" s="63" t="str">
        <f>IF(A266="","","必須以外の場合も、より正確な監視のために登録をお勧めします")</f>
        <v/>
      </c>
    </row>
    <row r="267" spans="1:11">
      <c r="A267" s="196" t="str">
        <f>IF(C$123&lt;27,"","8-155")</f>
        <v/>
      </c>
      <c r="B267" s="53" t="str">
        <f>IF(C$123&lt;27,"","通信ID 27　発電所区画No　※１７")</f>
        <v/>
      </c>
      <c r="C267" s="282"/>
      <c r="D267" s="283"/>
      <c r="E267" s="283"/>
      <c r="F267" s="283"/>
      <c r="G267" s="283"/>
      <c r="H267" s="284"/>
      <c r="I267" s="240" t="str">
        <f>IF(B267="","",IF(データ抽出!E267="","",データ抽出!E267))</f>
        <v/>
      </c>
      <c r="J267" s="92" t="str">
        <f>IF(C267="","",IF(データ抽出!F267="","",データ抽出!F267))</f>
        <v/>
      </c>
      <c r="K267" s="63" t="str">
        <f>IF(A267="","","5項［発電所情報］の区画番号（1～8）を記入ください")</f>
        <v/>
      </c>
    </row>
    <row r="268" spans="1:11">
      <c r="A268" s="198" t="str">
        <f>IF(C$123&lt;27,"",IF(C$131="無し","","8-156"))</f>
        <v/>
      </c>
      <c r="B268" s="66" t="str">
        <f>IF(C$123&lt;27,"",IF(C$131="無し","","通信ID 27　PCS毎の出力制御設定　※１８"))</f>
        <v/>
      </c>
      <c r="C268" s="291"/>
      <c r="D268" s="292"/>
      <c r="E268" s="292"/>
      <c r="F268" s="292"/>
      <c r="G268" s="292"/>
      <c r="H268" s="293"/>
      <c r="I268" s="244" t="str">
        <f>IF(B268="","",IF(データ抽出!E268="","",データ抽出!E268))</f>
        <v/>
      </c>
      <c r="J268" s="93" t="str">
        <f>IF(データ抽出!F268="","",データ抽出!F268)</f>
        <v/>
      </c>
      <c r="K268" s="114" t="str">
        <f>IF(A268="","","リストより選択")</f>
        <v/>
      </c>
    </row>
    <row r="269" spans="1:11">
      <c r="A269" s="197" t="str">
        <f>IF(C$123&lt;28,"","8-157")</f>
        <v/>
      </c>
      <c r="B269" s="67" t="str">
        <f>IF(C$123&lt;28,"","通信ID 28　PCS型名")</f>
        <v/>
      </c>
      <c r="C269" s="288"/>
      <c r="D269" s="289"/>
      <c r="E269" s="289"/>
      <c r="F269" s="289"/>
      <c r="G269" s="289"/>
      <c r="H269" s="290"/>
      <c r="I269" s="245" t="str">
        <f>IF(B269="","",IF(データ抽出!E269="","",データ抽出!E269))</f>
        <v/>
      </c>
      <c r="J269" s="91" t="str">
        <f>IF(データ抽出!F269="","",データ抽出!F269)</f>
        <v/>
      </c>
      <c r="K269" s="113" t="str">
        <f>IF(A269="","","リストより選択　オプション部分の型名は問いません")</f>
        <v/>
      </c>
    </row>
    <row r="270" spans="1:11">
      <c r="A270" s="196" t="str">
        <f>IF(C$123&lt;28,"","8-158")</f>
        <v/>
      </c>
      <c r="B270" s="53" t="str">
        <f>IF(C$123&lt;28,"","通信ID 28　PCS製造番号")</f>
        <v/>
      </c>
      <c r="C270" s="282"/>
      <c r="D270" s="283"/>
      <c r="E270" s="283"/>
      <c r="F270" s="283"/>
      <c r="G270" s="283"/>
      <c r="H270" s="284"/>
      <c r="I270" s="253" t="str">
        <f>IF(B270="","",IF(データ抽出!E270="","",データ抽出!E270))</f>
        <v/>
      </c>
      <c r="J270" s="92" t="str">
        <f>IF(データ抽出!F270="","",データ抽出!F270)</f>
        <v/>
      </c>
      <c r="K270" s="63" t="str">
        <f>IF(A270="","","設置前等で不明な場合を除き、登録願います")</f>
        <v/>
      </c>
    </row>
    <row r="271" spans="1:11">
      <c r="A271" s="196" t="str">
        <f>IF(C$123&lt;28,"","8-159")</f>
        <v/>
      </c>
      <c r="B271" s="53" t="str">
        <f>IF(C$123&lt;28,"","通信ID 28　接続パネル合計枚数、直・並列枚数")</f>
        <v/>
      </c>
      <c r="C271" s="225" t="str">
        <f t="shared" si="11"/>
        <v/>
      </c>
      <c r="D271" s="215"/>
      <c r="E271" s="226" t="str">
        <f t="shared" si="12"/>
        <v/>
      </c>
      <c r="F271" s="215"/>
      <c r="G271" s="226" t="str">
        <f t="shared" si="13"/>
        <v/>
      </c>
      <c r="H271" s="215"/>
      <c r="I271" s="454" t="str">
        <f>IF(B271="","",IF(データ抽出!E271="","",データ抽出!E271))</f>
        <v/>
      </c>
      <c r="J271" s="455"/>
      <c r="K271" s="63" t="str">
        <f>IF(A271="","","必須以外の場合も、より正確な監視のために登録をお勧めします")</f>
        <v/>
      </c>
    </row>
    <row r="272" spans="1:11">
      <c r="A272" s="196" t="str">
        <f>IF(C$123&lt;28,"","8-160")</f>
        <v/>
      </c>
      <c r="B272" s="53" t="str">
        <f>IF(C$123&lt;28,"","通信ID 28　発電所区画No　※１７")</f>
        <v/>
      </c>
      <c r="C272" s="282"/>
      <c r="D272" s="283"/>
      <c r="E272" s="283"/>
      <c r="F272" s="283"/>
      <c r="G272" s="283"/>
      <c r="H272" s="284"/>
      <c r="I272" s="240" t="str">
        <f>IF(B272="","",IF(データ抽出!E272="","",データ抽出!E272))</f>
        <v/>
      </c>
      <c r="J272" s="92" t="str">
        <f>IF(C272="","",IF(データ抽出!F272="","",データ抽出!F272))</f>
        <v/>
      </c>
      <c r="K272" s="63" t="str">
        <f>IF(A272="","","5項［発電所情報］の区画番号（1～8）を記入ください")</f>
        <v/>
      </c>
    </row>
    <row r="273" spans="1:24">
      <c r="A273" s="209" t="str">
        <f>IF(C$123&lt;28,"",IF(C$131="無し","","8-161"))</f>
        <v/>
      </c>
      <c r="B273" s="64" t="str">
        <f>IF(C$123&lt;28,"",IF(C$131="無し","","通信ID 28　PCS毎の出力制御設定　※１８"))</f>
        <v/>
      </c>
      <c r="C273" s="291"/>
      <c r="D273" s="292"/>
      <c r="E273" s="292"/>
      <c r="F273" s="292"/>
      <c r="G273" s="292"/>
      <c r="H273" s="293"/>
      <c r="I273" s="244" t="str">
        <f>IF(B273="","",IF(データ抽出!E273="","",データ抽出!E273))</f>
        <v/>
      </c>
      <c r="J273" s="93" t="str">
        <f>IF(データ抽出!F273="","",データ抽出!F273)</f>
        <v/>
      </c>
      <c r="K273" s="114" t="str">
        <f>IF(A273="","","リストより選択")</f>
        <v/>
      </c>
    </row>
    <row r="274" spans="1:24">
      <c r="A274" s="210" t="str">
        <f>IF(C$123&lt;29,"","8-162")</f>
        <v/>
      </c>
      <c r="B274" s="65" t="str">
        <f>IF(C$123&lt;29,"","通信ID 29　PCS型名")</f>
        <v/>
      </c>
      <c r="C274" s="288"/>
      <c r="D274" s="289"/>
      <c r="E274" s="289"/>
      <c r="F274" s="289"/>
      <c r="G274" s="289"/>
      <c r="H274" s="290"/>
      <c r="I274" s="245" t="str">
        <f>IF(B274="","",IF(データ抽出!E274="","",データ抽出!E274))</f>
        <v/>
      </c>
      <c r="J274" s="91" t="str">
        <f>IF(データ抽出!F274="","",データ抽出!F274)</f>
        <v/>
      </c>
      <c r="K274" s="113" t="str">
        <f>IF(A274="","","リストより選択　オプション部分の型名は問いません")</f>
        <v/>
      </c>
    </row>
    <row r="275" spans="1:24">
      <c r="A275" s="196" t="str">
        <f>IF(C$123&lt;29,"","8-163")</f>
        <v/>
      </c>
      <c r="B275" s="53" t="str">
        <f>IF(C$123&lt;29,"","通信ID 29　PCS製造番号")</f>
        <v/>
      </c>
      <c r="C275" s="282"/>
      <c r="D275" s="283"/>
      <c r="E275" s="283"/>
      <c r="F275" s="283"/>
      <c r="G275" s="283"/>
      <c r="H275" s="284"/>
      <c r="I275" s="253" t="str">
        <f>IF(B275="","",IF(データ抽出!E275="","",データ抽出!E275))</f>
        <v/>
      </c>
      <c r="J275" s="92" t="str">
        <f>IF(データ抽出!F275="","",データ抽出!F275)</f>
        <v/>
      </c>
      <c r="K275" s="63" t="str">
        <f>IF(A275="","","設置前等で不明な場合を除き、登録願います")</f>
        <v/>
      </c>
    </row>
    <row r="276" spans="1:24">
      <c r="A276" s="196" t="str">
        <f>IF(C$123&lt;29,"","8-164")</f>
        <v/>
      </c>
      <c r="B276" s="53" t="str">
        <f>IF(C$123&lt;29,"","通信ID 29　接続パネル合計枚数、直・並列枚数")</f>
        <v/>
      </c>
      <c r="C276" s="225" t="str">
        <f t="shared" si="11"/>
        <v/>
      </c>
      <c r="D276" s="215"/>
      <c r="E276" s="226" t="str">
        <f t="shared" si="12"/>
        <v/>
      </c>
      <c r="F276" s="215"/>
      <c r="G276" s="226" t="str">
        <f t="shared" si="13"/>
        <v/>
      </c>
      <c r="H276" s="215"/>
      <c r="I276" s="454" t="str">
        <f>IF(B276="","",IF(データ抽出!E276="","",データ抽出!E276))</f>
        <v/>
      </c>
      <c r="J276" s="455"/>
      <c r="K276" s="63" t="str">
        <f>IF(A276="","","必須以外の場合も、より正確な監視のために登録をお勧めします")</f>
        <v/>
      </c>
    </row>
    <row r="277" spans="1:24">
      <c r="A277" s="196" t="str">
        <f>IF(C$123&lt;29,"","8-165")</f>
        <v/>
      </c>
      <c r="B277" s="53" t="str">
        <f>IF(C$123&lt;29,"","通信ID 29　発電所区画No　※１７")</f>
        <v/>
      </c>
      <c r="C277" s="282"/>
      <c r="D277" s="283"/>
      <c r="E277" s="283"/>
      <c r="F277" s="283"/>
      <c r="G277" s="283"/>
      <c r="H277" s="284"/>
      <c r="I277" s="240" t="str">
        <f>IF(B277="","",IF(データ抽出!E277="","",データ抽出!E277))</f>
        <v/>
      </c>
      <c r="J277" s="92" t="str">
        <f>IF(C277="","",IF(データ抽出!F277="","",データ抽出!F277))</f>
        <v/>
      </c>
      <c r="K277" s="63" t="str">
        <f>IF(A277="","","5項［発電所情報］の区画番号（1～8）を記入ください")</f>
        <v/>
      </c>
    </row>
    <row r="278" spans="1:24">
      <c r="A278" s="198" t="str">
        <f>IF(C$123&lt;29,"",IF(C$131="無し","","8-166"))</f>
        <v/>
      </c>
      <c r="B278" s="66" t="str">
        <f>IF(C$123&lt;29,"",IF(C$131="無し","","通信ID 29　PCS毎の出力制御設定　※１８"))</f>
        <v/>
      </c>
      <c r="C278" s="291"/>
      <c r="D278" s="292"/>
      <c r="E278" s="292"/>
      <c r="F278" s="292"/>
      <c r="G278" s="292"/>
      <c r="H278" s="293"/>
      <c r="I278" s="244" t="str">
        <f>IF(B278="","",IF(データ抽出!E278="","",データ抽出!E278))</f>
        <v/>
      </c>
      <c r="J278" s="93" t="str">
        <f>IF(データ抽出!F278="","",データ抽出!F278)</f>
        <v/>
      </c>
      <c r="K278" s="114" t="str">
        <f>IF(A278="","","リストより選択")</f>
        <v/>
      </c>
      <c r="L278" s="102"/>
      <c r="M278" s="102"/>
      <c r="N278" s="102"/>
      <c r="O278" s="102"/>
      <c r="P278" s="102"/>
      <c r="Q278" s="102"/>
      <c r="R278" s="102"/>
      <c r="S278" s="102"/>
      <c r="T278" s="102"/>
      <c r="U278" s="102"/>
      <c r="V278" s="102"/>
      <c r="W278" s="102"/>
      <c r="X278" s="102"/>
    </row>
    <row r="279" spans="1:24">
      <c r="A279" s="197" t="str">
        <f>IF(C$123&lt;30,"","8-167")</f>
        <v/>
      </c>
      <c r="B279" s="67" t="str">
        <f>IF(C$123&lt;30,"","通信ID 30　PCS型名")</f>
        <v/>
      </c>
      <c r="C279" s="288"/>
      <c r="D279" s="289"/>
      <c r="E279" s="289"/>
      <c r="F279" s="289"/>
      <c r="G279" s="289"/>
      <c r="H279" s="290"/>
      <c r="I279" s="245" t="str">
        <f>IF(B279="","",IF(データ抽出!E279="","",データ抽出!E279))</f>
        <v/>
      </c>
      <c r="J279" s="91" t="str">
        <f>IF(データ抽出!F279="","",データ抽出!F279)</f>
        <v/>
      </c>
      <c r="K279" s="113" t="str">
        <f>IF(A279="","","リストより選択　オプション部分の型名は問いません")</f>
        <v/>
      </c>
    </row>
    <row r="280" spans="1:24">
      <c r="A280" s="196" t="str">
        <f>IF(C$123&lt;30,"","8-168")</f>
        <v/>
      </c>
      <c r="B280" s="53" t="str">
        <f>IF(C$123&lt;30,"","通信ID 30　PCS製造番号")</f>
        <v/>
      </c>
      <c r="C280" s="282"/>
      <c r="D280" s="283"/>
      <c r="E280" s="283"/>
      <c r="F280" s="283"/>
      <c r="G280" s="283"/>
      <c r="H280" s="284"/>
      <c r="I280" s="253" t="str">
        <f>IF(B280="","",IF(データ抽出!E280="","",データ抽出!E280))</f>
        <v/>
      </c>
      <c r="J280" s="92" t="str">
        <f>IF(データ抽出!F280="","",データ抽出!F280)</f>
        <v/>
      </c>
      <c r="K280" s="63" t="str">
        <f>IF(A280="","","設置前等で不明な場合を除き、登録願います")</f>
        <v/>
      </c>
      <c r="L280" s="43"/>
      <c r="M280" s="43"/>
      <c r="N280" s="43"/>
      <c r="O280" s="43"/>
      <c r="P280" s="43"/>
      <c r="Q280" s="43"/>
      <c r="R280" s="43"/>
      <c r="S280" s="43"/>
      <c r="T280" s="43"/>
      <c r="U280" s="43"/>
      <c r="V280" s="43"/>
      <c r="W280" s="43"/>
      <c r="X280" s="43"/>
    </row>
    <row r="281" spans="1:24" s="102" customFormat="1">
      <c r="A281" s="196" t="str">
        <f>IF(C$123&lt;30,"","8-169")</f>
        <v/>
      </c>
      <c r="B281" s="53" t="str">
        <f>IF(C$123&lt;30,"","通信ID 30　接続パネル合計枚数、直・並列枚数")</f>
        <v/>
      </c>
      <c r="C281" s="225" t="str">
        <f t="shared" ref="C281" si="14">IF($B281="","","合計枚数：")</f>
        <v/>
      </c>
      <c r="D281" s="215"/>
      <c r="E281" s="226" t="str">
        <f t="shared" ref="E281" si="15">IF($B281="","","直列枚数：")</f>
        <v/>
      </c>
      <c r="F281" s="215"/>
      <c r="G281" s="226" t="str">
        <f t="shared" ref="G281" si="16">IF($B281="","","並列枚数：")</f>
        <v/>
      </c>
      <c r="H281" s="215"/>
      <c r="I281" s="454" t="str">
        <f>IF(B281="","",IF(データ抽出!E281="","",データ抽出!E281))</f>
        <v/>
      </c>
      <c r="J281" s="455"/>
      <c r="K281" s="63" t="str">
        <f>IF(A281="","","必須以外の場合も、より正確な監視のために登録をお勧めします")</f>
        <v/>
      </c>
      <c r="L281" s="3"/>
      <c r="M281" s="3"/>
      <c r="N281" s="3"/>
      <c r="O281" s="3"/>
      <c r="P281" s="3"/>
      <c r="Q281" s="3"/>
      <c r="R281" s="3"/>
      <c r="S281" s="3"/>
      <c r="T281" s="3"/>
      <c r="U281" s="3"/>
      <c r="V281" s="3"/>
      <c r="W281" s="3"/>
      <c r="X281" s="3"/>
    </row>
    <row r="282" spans="1:24" s="102" customFormat="1" ht="15" customHeight="1">
      <c r="A282" s="196" t="str">
        <f>IF(C$123&lt;30,"","8-170")</f>
        <v/>
      </c>
      <c r="B282" s="53" t="str">
        <f>IF(C$123&lt;30,"","通信ID 30　発電所区画No　※１７")</f>
        <v/>
      </c>
      <c r="C282" s="282"/>
      <c r="D282" s="283"/>
      <c r="E282" s="283"/>
      <c r="F282" s="283"/>
      <c r="G282" s="283"/>
      <c r="H282" s="284"/>
      <c r="I282" s="240" t="str">
        <f>IF(B282="","",IF(データ抽出!E282="","",データ抽出!E282))</f>
        <v/>
      </c>
      <c r="J282" s="92" t="str">
        <f>IF(C282="","",IF(データ抽出!F282="","",データ抽出!F282))</f>
        <v/>
      </c>
      <c r="K282" s="63" t="str">
        <f>IF(A282="","","5項［発電所情報］の区画番号（1～8）を記入ください")</f>
        <v/>
      </c>
      <c r="L282" s="3"/>
      <c r="M282" s="3"/>
      <c r="N282" s="3"/>
      <c r="O282" s="3"/>
      <c r="P282" s="3"/>
      <c r="Q282" s="3"/>
      <c r="R282" s="3"/>
      <c r="S282" s="3"/>
      <c r="T282" s="3"/>
      <c r="U282" s="3"/>
      <c r="V282" s="3"/>
      <c r="W282" s="3"/>
      <c r="X282" s="3"/>
    </row>
    <row r="283" spans="1:24" s="102" customFormat="1" ht="15" customHeight="1" thickBot="1">
      <c r="A283" s="211" t="str">
        <f>IF(C$123&lt;30,"",IF(C$131="無し","","8-171"))</f>
        <v/>
      </c>
      <c r="B283" s="59" t="str">
        <f>IF(C$123&lt;30,"",IF(C$131="無し","","通信ID 30　PCS毎の出力制御設定　※１８"))</f>
        <v/>
      </c>
      <c r="C283" s="285"/>
      <c r="D283" s="286"/>
      <c r="E283" s="286"/>
      <c r="F283" s="286"/>
      <c r="G283" s="286"/>
      <c r="H283" s="287"/>
      <c r="I283" s="244" t="str">
        <f>IF(B283="","",IF(データ抽出!E283="","",データ抽出!E283))</f>
        <v/>
      </c>
      <c r="J283" s="93" t="str">
        <f>IF(データ抽出!F283="","",データ抽出!F283)</f>
        <v/>
      </c>
      <c r="K283" s="114" t="str">
        <f>IF(A283="","","リストより選択")</f>
        <v/>
      </c>
      <c r="L283" s="3"/>
      <c r="M283" s="3"/>
      <c r="N283" s="3"/>
      <c r="O283" s="3"/>
      <c r="P283" s="3"/>
      <c r="Q283" s="3"/>
      <c r="R283" s="3"/>
      <c r="S283" s="3"/>
      <c r="T283" s="3"/>
      <c r="U283" s="3"/>
      <c r="V283" s="3"/>
      <c r="W283" s="3"/>
      <c r="X283" s="3"/>
    </row>
    <row r="284" spans="1:24" s="102" customFormat="1" ht="30" customHeight="1">
      <c r="A284" s="310" t="s">
        <v>438</v>
      </c>
      <c r="B284" s="302" t="s">
        <v>747</v>
      </c>
      <c r="C284" s="303"/>
      <c r="D284" s="303"/>
      <c r="E284" s="303"/>
      <c r="F284" s="303"/>
      <c r="G284" s="303"/>
      <c r="H284" s="303"/>
      <c r="I284" s="303"/>
      <c r="J284" s="303"/>
      <c r="K284" s="304"/>
      <c r="L284" s="3"/>
      <c r="M284" s="3"/>
      <c r="N284" s="3"/>
      <c r="O284" s="3"/>
      <c r="P284" s="3"/>
      <c r="Q284" s="3"/>
      <c r="R284" s="3"/>
      <c r="S284" s="3"/>
      <c r="T284" s="3"/>
      <c r="U284" s="3"/>
      <c r="V284" s="3"/>
      <c r="W284" s="3"/>
      <c r="X284" s="3"/>
    </row>
    <row r="285" spans="1:24" s="102" customFormat="1" ht="15" customHeight="1">
      <c r="A285" s="311"/>
      <c r="B285" s="302" t="s">
        <v>858</v>
      </c>
      <c r="C285" s="313"/>
      <c r="D285" s="313"/>
      <c r="E285" s="313"/>
      <c r="F285" s="313"/>
      <c r="G285" s="313"/>
      <c r="H285" s="313"/>
      <c r="I285" s="313"/>
      <c r="J285" s="313"/>
      <c r="K285" s="314"/>
      <c r="L285" s="3"/>
      <c r="M285" s="3"/>
      <c r="N285" s="3"/>
      <c r="O285" s="3"/>
      <c r="P285" s="3"/>
      <c r="Q285" s="3"/>
      <c r="R285" s="3"/>
      <c r="S285" s="3"/>
      <c r="T285" s="3"/>
      <c r="U285" s="3"/>
      <c r="V285" s="3"/>
      <c r="W285" s="3"/>
      <c r="X285" s="3"/>
    </row>
    <row r="286" spans="1:24" s="102" customFormat="1" ht="15" customHeight="1">
      <c r="A286" s="311"/>
      <c r="B286" s="302" t="s">
        <v>859</v>
      </c>
      <c r="C286" s="313"/>
      <c r="D286" s="313"/>
      <c r="E286" s="313"/>
      <c r="F286" s="313"/>
      <c r="G286" s="313"/>
      <c r="H286" s="313"/>
      <c r="I286" s="313"/>
      <c r="J286" s="313"/>
      <c r="K286" s="314"/>
      <c r="L286" s="3"/>
      <c r="M286" s="3"/>
      <c r="N286" s="3"/>
      <c r="O286" s="3"/>
      <c r="P286" s="3"/>
      <c r="Q286" s="3"/>
      <c r="R286" s="3"/>
      <c r="S286" s="3"/>
      <c r="T286" s="3"/>
      <c r="U286" s="3"/>
      <c r="V286" s="3"/>
      <c r="W286" s="3"/>
      <c r="X286" s="3"/>
    </row>
    <row r="287" spans="1:24" s="102" customFormat="1" ht="15" customHeight="1">
      <c r="A287" s="311"/>
      <c r="B287" s="302" t="s">
        <v>860</v>
      </c>
      <c r="C287" s="313"/>
      <c r="D287" s="313"/>
      <c r="E287" s="313"/>
      <c r="F287" s="313"/>
      <c r="G287" s="313"/>
      <c r="H287" s="313"/>
      <c r="I287" s="313"/>
      <c r="J287" s="313"/>
      <c r="K287" s="314"/>
      <c r="L287" s="3"/>
      <c r="M287" s="3"/>
      <c r="N287" s="3"/>
      <c r="O287" s="3"/>
      <c r="P287" s="3"/>
      <c r="Q287" s="3"/>
      <c r="R287" s="3"/>
      <c r="S287" s="3"/>
      <c r="T287" s="3"/>
      <c r="U287" s="3"/>
      <c r="V287" s="3"/>
      <c r="W287" s="3"/>
      <c r="X287" s="3"/>
    </row>
    <row r="288" spans="1:24" s="102" customFormat="1" ht="15" customHeight="1">
      <c r="A288" s="311"/>
      <c r="B288" s="302" t="s">
        <v>856</v>
      </c>
      <c r="C288" s="313"/>
      <c r="D288" s="313"/>
      <c r="E288" s="313"/>
      <c r="F288" s="313"/>
      <c r="G288" s="313"/>
      <c r="H288" s="313"/>
      <c r="I288" s="313"/>
      <c r="J288" s="313"/>
      <c r="K288" s="314"/>
      <c r="L288" s="3"/>
      <c r="M288" s="3"/>
      <c r="N288" s="3"/>
      <c r="O288" s="3"/>
      <c r="P288" s="3"/>
      <c r="Q288" s="3"/>
      <c r="R288" s="3"/>
      <c r="S288" s="3"/>
      <c r="T288" s="3"/>
      <c r="U288" s="3"/>
      <c r="V288" s="3"/>
      <c r="W288" s="3"/>
      <c r="X288" s="3"/>
    </row>
    <row r="289" spans="1:24" s="102" customFormat="1" ht="15" customHeight="1">
      <c r="A289" s="311"/>
      <c r="B289" s="302" t="s">
        <v>857</v>
      </c>
      <c r="C289" s="313"/>
      <c r="D289" s="313"/>
      <c r="E289" s="313"/>
      <c r="F289" s="313"/>
      <c r="G289" s="313"/>
      <c r="H289" s="313"/>
      <c r="I289" s="313"/>
      <c r="J289" s="313"/>
      <c r="K289" s="314"/>
      <c r="L289" s="3"/>
      <c r="M289" s="3"/>
      <c r="N289" s="3"/>
      <c r="O289" s="3"/>
      <c r="P289" s="3"/>
      <c r="Q289" s="3"/>
      <c r="R289" s="3"/>
      <c r="S289" s="3"/>
      <c r="T289" s="3"/>
      <c r="U289" s="3"/>
      <c r="V289" s="3"/>
      <c r="W289" s="3"/>
      <c r="X289" s="3"/>
    </row>
    <row r="290" spans="1:24" s="102" customFormat="1" ht="15" customHeight="1">
      <c r="A290" s="311"/>
      <c r="B290" s="302" t="s">
        <v>848</v>
      </c>
      <c r="C290" s="303"/>
      <c r="D290" s="303"/>
      <c r="E290" s="303"/>
      <c r="F290" s="303"/>
      <c r="G290" s="303"/>
      <c r="H290" s="303"/>
      <c r="I290" s="303"/>
      <c r="J290" s="303"/>
      <c r="K290" s="304"/>
      <c r="L290" s="3"/>
      <c r="M290" s="3"/>
      <c r="N290" s="3"/>
      <c r="O290" s="3"/>
      <c r="P290" s="3"/>
      <c r="Q290" s="3"/>
      <c r="R290" s="3"/>
      <c r="S290" s="3"/>
      <c r="T290" s="3"/>
      <c r="U290" s="3"/>
      <c r="V290" s="3"/>
      <c r="W290" s="3"/>
      <c r="X290" s="3"/>
    </row>
    <row r="291" spans="1:24" ht="15" customHeight="1">
      <c r="A291" s="311"/>
      <c r="B291" s="302" t="s">
        <v>849</v>
      </c>
      <c r="C291" s="303"/>
      <c r="D291" s="303"/>
      <c r="E291" s="303"/>
      <c r="F291" s="303"/>
      <c r="G291" s="303"/>
      <c r="H291" s="303"/>
      <c r="I291" s="303"/>
      <c r="J291" s="303"/>
      <c r="K291" s="304"/>
    </row>
    <row r="292" spans="1:24" ht="15" customHeight="1">
      <c r="A292" s="311"/>
      <c r="B292" s="302" t="s">
        <v>861</v>
      </c>
      <c r="C292" s="303"/>
      <c r="D292" s="303"/>
      <c r="E292" s="303"/>
      <c r="F292" s="303"/>
      <c r="G292" s="303"/>
      <c r="H292" s="303"/>
      <c r="I292" s="303"/>
      <c r="J292" s="303"/>
      <c r="K292" s="304"/>
    </row>
    <row r="293" spans="1:24" s="43" customFormat="1" ht="15" customHeight="1">
      <c r="A293" s="312"/>
      <c r="B293" s="308" t="s">
        <v>886</v>
      </c>
      <c r="C293" s="275"/>
      <c r="D293" s="275"/>
      <c r="E293" s="275"/>
      <c r="F293" s="275"/>
      <c r="G293" s="275"/>
      <c r="H293" s="275"/>
      <c r="I293" s="275"/>
      <c r="J293" s="275"/>
      <c r="K293" s="309"/>
      <c r="L293" s="3"/>
      <c r="M293" s="3"/>
      <c r="N293" s="3"/>
      <c r="O293" s="3"/>
      <c r="P293" s="3"/>
      <c r="Q293" s="3"/>
      <c r="R293" s="3"/>
      <c r="S293" s="3"/>
      <c r="T293" s="3"/>
      <c r="U293" s="3"/>
      <c r="V293" s="3"/>
      <c r="W293" s="3"/>
      <c r="X293" s="3"/>
    </row>
    <row r="294" spans="1:24" ht="85" customHeight="1">
      <c r="A294" s="305" t="s">
        <v>887</v>
      </c>
      <c r="B294" s="306"/>
      <c r="C294" s="306"/>
      <c r="D294" s="306"/>
      <c r="E294" s="306"/>
      <c r="F294" s="306"/>
      <c r="G294" s="306"/>
      <c r="H294" s="306"/>
      <c r="I294" s="306"/>
      <c r="J294" s="306"/>
      <c r="K294" s="307"/>
    </row>
    <row r="295" spans="1:24" ht="180" customHeight="1" thickBot="1">
      <c r="A295" s="305" t="s">
        <v>888</v>
      </c>
      <c r="B295" s="306"/>
      <c r="C295" s="306"/>
      <c r="D295" s="306"/>
      <c r="E295" s="306"/>
      <c r="F295" s="306"/>
      <c r="G295" s="306"/>
      <c r="H295" s="306"/>
      <c r="I295" s="306"/>
      <c r="J295" s="306"/>
      <c r="K295" s="307"/>
    </row>
    <row r="296" spans="1:24">
      <c r="A296" s="49" t="s">
        <v>716</v>
      </c>
      <c r="B296" s="50" t="s">
        <v>754</v>
      </c>
      <c r="C296" s="294"/>
      <c r="D296" s="295"/>
      <c r="E296" s="295"/>
      <c r="F296" s="295"/>
      <c r="G296" s="295"/>
      <c r="H296" s="296"/>
      <c r="I296" s="245" t="s">
        <v>876</v>
      </c>
      <c r="J296" s="91" t="str">
        <f>IF(データ抽出!F296="","",データ抽出!F296)</f>
        <v/>
      </c>
      <c r="K296" s="110" t="s">
        <v>527</v>
      </c>
    </row>
    <row r="297" spans="1:24">
      <c r="A297" s="52" t="s">
        <v>718</v>
      </c>
      <c r="B297" s="53" t="s">
        <v>750</v>
      </c>
      <c r="C297" s="282"/>
      <c r="D297" s="283"/>
      <c r="E297" s="283"/>
      <c r="F297" s="283"/>
      <c r="G297" s="283"/>
      <c r="H297" s="284"/>
      <c r="I297" s="240" t="str">
        <f>IF(データ抽出!E297="","",データ抽出!E297)</f>
        <v/>
      </c>
      <c r="J297" s="92" t="str">
        <f>IF(データ抽出!F297="","",データ抽出!F297)</f>
        <v/>
      </c>
      <c r="K297" s="63" t="s">
        <v>889</v>
      </c>
    </row>
    <row r="298" spans="1:24">
      <c r="A298" s="52" t="s">
        <v>720</v>
      </c>
      <c r="B298" s="53" t="s">
        <v>751</v>
      </c>
      <c r="C298" s="282"/>
      <c r="D298" s="283"/>
      <c r="E298" s="283"/>
      <c r="F298" s="283"/>
      <c r="G298" s="283"/>
      <c r="H298" s="284"/>
      <c r="I298" s="240" t="str">
        <f>IF(データ抽出!E298="","",データ抽出!E298)</f>
        <v/>
      </c>
      <c r="J298" s="92" t="str">
        <f>IF(データ抽出!F298="","",データ抽出!F298)</f>
        <v/>
      </c>
      <c r="K298" s="63" t="s">
        <v>522</v>
      </c>
    </row>
    <row r="299" spans="1:24">
      <c r="A299" s="52" t="s">
        <v>721</v>
      </c>
      <c r="B299" s="53" t="s">
        <v>752</v>
      </c>
      <c r="C299" s="282"/>
      <c r="D299" s="283"/>
      <c r="E299" s="283"/>
      <c r="F299" s="283"/>
      <c r="G299" s="283"/>
      <c r="H299" s="284"/>
      <c r="I299" s="240" t="str">
        <f>IF(データ抽出!E299="","",データ抽出!E299)</f>
        <v/>
      </c>
      <c r="J299" s="92" t="str">
        <f>IF(データ抽出!F299="","",データ抽出!F299)</f>
        <v/>
      </c>
      <c r="K299" s="63"/>
    </row>
    <row r="300" spans="1:24">
      <c r="A300" s="52" t="s">
        <v>722</v>
      </c>
      <c r="B300" s="53" t="s">
        <v>472</v>
      </c>
      <c r="C300" s="297"/>
      <c r="D300" s="298"/>
      <c r="E300" s="298"/>
      <c r="F300" s="298"/>
      <c r="G300" s="298"/>
      <c r="H300" s="299"/>
      <c r="I300" s="240" t="str">
        <f>IF(データ抽出!E300="","",データ抽出!E300)</f>
        <v/>
      </c>
      <c r="J300" s="92" t="str">
        <f>IF(データ抽出!F300="","",データ抽出!F300)</f>
        <v/>
      </c>
      <c r="K300" s="63" t="s">
        <v>529</v>
      </c>
    </row>
    <row r="301" spans="1:24">
      <c r="A301" s="52" t="s">
        <v>723</v>
      </c>
      <c r="B301" s="53" t="s">
        <v>473</v>
      </c>
      <c r="C301" s="297"/>
      <c r="D301" s="298"/>
      <c r="E301" s="298"/>
      <c r="F301" s="298"/>
      <c r="G301" s="298"/>
      <c r="H301" s="299"/>
      <c r="I301" s="240" t="str">
        <f>IF(データ抽出!E301="","",データ抽出!E301)</f>
        <v/>
      </c>
      <c r="J301" s="92" t="str">
        <f>IF(データ抽出!F301="","",データ抽出!F301)</f>
        <v/>
      </c>
      <c r="K301" s="63" t="s">
        <v>530</v>
      </c>
    </row>
    <row r="302" spans="1:24">
      <c r="A302" s="52" t="s">
        <v>724</v>
      </c>
      <c r="B302" s="53" t="s">
        <v>4</v>
      </c>
      <c r="C302" s="327"/>
      <c r="D302" s="328"/>
      <c r="E302" s="328"/>
      <c r="F302" s="328"/>
      <c r="G302" s="328"/>
      <c r="H302" s="329"/>
      <c r="I302" s="239" t="str">
        <f>IF(データ抽出!E302="","",データ抽出!E302)</f>
        <v/>
      </c>
      <c r="J302" s="92" t="str">
        <f>IF(データ抽出!F302="","",データ抽出!F302)</f>
        <v/>
      </c>
      <c r="K302" s="63" t="s">
        <v>521</v>
      </c>
    </row>
    <row r="303" spans="1:24" ht="13.5" customHeight="1" thickBot="1">
      <c r="A303" s="71" t="s">
        <v>725</v>
      </c>
      <c r="B303" s="59" t="s">
        <v>12</v>
      </c>
      <c r="C303" s="444"/>
      <c r="D303" s="286"/>
      <c r="E303" s="286"/>
      <c r="F303" s="286"/>
      <c r="G303" s="286"/>
      <c r="H303" s="287"/>
      <c r="I303" s="244" t="str">
        <f>IF(データ抽出!E303="","",データ抽出!E303)</f>
        <v/>
      </c>
      <c r="J303" s="93" t="str">
        <f>IF(データ抽出!F303="","",データ抽出!F303)</f>
        <v/>
      </c>
      <c r="K303" s="115"/>
    </row>
    <row r="304" spans="1:24" ht="13.5" customHeight="1"/>
    <row r="305" spans="1:11" ht="13.5" customHeight="1" thickBot="1"/>
    <row r="306" spans="1:11" ht="13.5" customHeight="1">
      <c r="A306" s="370" t="s">
        <v>883</v>
      </c>
      <c r="B306" s="371"/>
      <c r="C306" s="371"/>
      <c r="D306" s="371"/>
      <c r="E306" s="371"/>
      <c r="F306" s="371"/>
      <c r="G306" s="371"/>
      <c r="H306" s="371"/>
      <c r="I306" s="371"/>
      <c r="J306" s="371"/>
      <c r="K306" s="372"/>
    </row>
    <row r="307" spans="1:11" ht="13.5" customHeight="1">
      <c r="A307" s="373"/>
      <c r="B307" s="374"/>
      <c r="C307" s="374"/>
      <c r="D307" s="374"/>
      <c r="E307" s="374"/>
      <c r="F307" s="374"/>
      <c r="G307" s="374"/>
      <c r="H307" s="374"/>
      <c r="I307" s="374"/>
      <c r="J307" s="374"/>
      <c r="K307" s="375"/>
    </row>
    <row r="308" spans="1:11" ht="13.5" customHeight="1">
      <c r="A308" s="373"/>
      <c r="B308" s="374"/>
      <c r="C308" s="374"/>
      <c r="D308" s="374"/>
      <c r="E308" s="374"/>
      <c r="F308" s="374"/>
      <c r="G308" s="374"/>
      <c r="H308" s="374"/>
      <c r="I308" s="374"/>
      <c r="J308" s="374"/>
      <c r="K308" s="375"/>
    </row>
    <row r="309" spans="1:11" ht="13.5" customHeight="1">
      <c r="A309" s="373"/>
      <c r="B309" s="374"/>
      <c r="C309" s="374"/>
      <c r="D309" s="374"/>
      <c r="E309" s="374"/>
      <c r="F309" s="374"/>
      <c r="G309" s="374"/>
      <c r="H309" s="374"/>
      <c r="I309" s="374"/>
      <c r="J309" s="374"/>
      <c r="K309" s="375"/>
    </row>
    <row r="310" spans="1:11" ht="13.5" customHeight="1">
      <c r="A310" s="373"/>
      <c r="B310" s="374"/>
      <c r="C310" s="374"/>
      <c r="D310" s="374"/>
      <c r="E310" s="374"/>
      <c r="F310" s="374"/>
      <c r="G310" s="374"/>
      <c r="H310" s="374"/>
      <c r="I310" s="374"/>
      <c r="J310" s="374"/>
      <c r="K310" s="375"/>
    </row>
    <row r="311" spans="1:11" ht="13.5" customHeight="1">
      <c r="A311" s="373"/>
      <c r="B311" s="374"/>
      <c r="C311" s="374"/>
      <c r="D311" s="374"/>
      <c r="E311" s="374"/>
      <c r="F311" s="374"/>
      <c r="G311" s="374"/>
      <c r="H311" s="374"/>
      <c r="I311" s="374"/>
      <c r="J311" s="374"/>
      <c r="K311" s="375"/>
    </row>
    <row r="312" spans="1:11" ht="13.5" customHeight="1">
      <c r="A312" s="373"/>
      <c r="B312" s="374"/>
      <c r="C312" s="374"/>
      <c r="D312" s="374"/>
      <c r="E312" s="374"/>
      <c r="F312" s="374"/>
      <c r="G312" s="374"/>
      <c r="H312" s="374"/>
      <c r="I312" s="374"/>
      <c r="J312" s="374"/>
      <c r="K312" s="375"/>
    </row>
    <row r="313" spans="1:11" ht="13.5" customHeight="1">
      <c r="A313" s="373"/>
      <c r="B313" s="374"/>
      <c r="C313" s="374"/>
      <c r="D313" s="374"/>
      <c r="E313" s="374"/>
      <c r="F313" s="374"/>
      <c r="G313" s="374"/>
      <c r="H313" s="374"/>
      <c r="I313" s="374"/>
      <c r="J313" s="374"/>
      <c r="K313" s="375"/>
    </row>
    <row r="314" spans="1:11" ht="13.5" customHeight="1">
      <c r="A314" s="373"/>
      <c r="B314" s="374"/>
      <c r="C314" s="374"/>
      <c r="D314" s="374"/>
      <c r="E314" s="374"/>
      <c r="F314" s="374"/>
      <c r="G314" s="374"/>
      <c r="H314" s="374"/>
      <c r="I314" s="374"/>
      <c r="J314" s="374"/>
      <c r="K314" s="375"/>
    </row>
    <row r="315" spans="1:11" ht="13.5" customHeight="1">
      <c r="A315" s="373"/>
      <c r="B315" s="374"/>
      <c r="C315" s="374"/>
      <c r="D315" s="374"/>
      <c r="E315" s="374"/>
      <c r="F315" s="374"/>
      <c r="G315" s="374"/>
      <c r="H315" s="374"/>
      <c r="I315" s="374"/>
      <c r="J315" s="374"/>
      <c r="K315" s="375"/>
    </row>
    <row r="316" spans="1:11" ht="13.5" customHeight="1">
      <c r="A316" s="373"/>
      <c r="B316" s="374"/>
      <c r="C316" s="374"/>
      <c r="D316" s="374"/>
      <c r="E316" s="374"/>
      <c r="F316" s="374"/>
      <c r="G316" s="374"/>
      <c r="H316" s="374"/>
      <c r="I316" s="374"/>
      <c r="J316" s="374"/>
      <c r="K316" s="375"/>
    </row>
    <row r="317" spans="1:11" ht="14.25" customHeight="1">
      <c r="A317" s="373"/>
      <c r="B317" s="374"/>
      <c r="C317" s="374"/>
      <c r="D317" s="374"/>
      <c r="E317" s="374"/>
      <c r="F317" s="374"/>
      <c r="G317" s="374"/>
      <c r="H317" s="374"/>
      <c r="I317" s="374"/>
      <c r="J317" s="374"/>
      <c r="K317" s="375"/>
    </row>
    <row r="318" spans="1:11" ht="13.5" customHeight="1">
      <c r="A318" s="373"/>
      <c r="B318" s="374"/>
      <c r="C318" s="374"/>
      <c r="D318" s="374"/>
      <c r="E318" s="374"/>
      <c r="F318" s="374"/>
      <c r="G318" s="374"/>
      <c r="H318" s="374"/>
      <c r="I318" s="374"/>
      <c r="J318" s="374"/>
      <c r="K318" s="375"/>
    </row>
    <row r="319" spans="1:11" ht="13.5" customHeight="1">
      <c r="A319" s="373"/>
      <c r="B319" s="374"/>
      <c r="C319" s="374"/>
      <c r="D319" s="374"/>
      <c r="E319" s="374"/>
      <c r="F319" s="374"/>
      <c r="G319" s="374"/>
      <c r="H319" s="374"/>
      <c r="I319" s="374"/>
      <c r="J319" s="374"/>
      <c r="K319" s="375"/>
    </row>
    <row r="320" spans="1:11" ht="14.25" customHeight="1" thickBot="1">
      <c r="A320" s="376"/>
      <c r="B320" s="377"/>
      <c r="C320" s="377"/>
      <c r="D320" s="377"/>
      <c r="E320" s="377"/>
      <c r="F320" s="377"/>
      <c r="G320" s="377"/>
      <c r="H320" s="377"/>
      <c r="I320" s="377"/>
      <c r="J320" s="377"/>
      <c r="K320" s="378"/>
    </row>
    <row r="321" spans="2:13" ht="14.25" customHeight="1" thickBot="1">
      <c r="B321" s="189"/>
      <c r="C321" s="189"/>
      <c r="D321" s="189"/>
      <c r="E321" s="189"/>
      <c r="F321" s="189"/>
      <c r="G321" s="189"/>
      <c r="H321" s="189"/>
      <c r="I321" s="249"/>
      <c r="J321" s="189"/>
    </row>
    <row r="322" spans="2:13" ht="13.5" customHeight="1">
      <c r="B322" s="191" t="s">
        <v>430</v>
      </c>
      <c r="C322" s="189"/>
      <c r="D322" s="189"/>
      <c r="E322" s="189"/>
      <c r="F322" s="264" t="s">
        <v>1047</v>
      </c>
      <c r="G322" s="265"/>
      <c r="H322" s="265"/>
      <c r="I322" s="265"/>
      <c r="J322" s="265"/>
      <c r="K322" s="266"/>
      <c r="L322" s="165"/>
      <c r="M322" s="165"/>
    </row>
    <row r="323" spans="2:13" ht="14.25" customHeight="1">
      <c r="B323" s="73" t="s">
        <v>850</v>
      </c>
      <c r="C323" s="219"/>
      <c r="D323" s="220"/>
      <c r="E323" s="192"/>
      <c r="F323" s="267"/>
      <c r="G323" s="268"/>
      <c r="H323" s="268"/>
      <c r="I323" s="268"/>
      <c r="J323" s="268"/>
      <c r="K323" s="269"/>
      <c r="L323" s="165"/>
      <c r="M323" s="165"/>
    </row>
    <row r="324" spans="2:13" ht="13.5" customHeight="1">
      <c r="B324" s="213" t="s">
        <v>855</v>
      </c>
      <c r="C324" s="221"/>
      <c r="D324" s="222"/>
      <c r="E324" s="194"/>
      <c r="F324" s="267"/>
      <c r="G324" s="268"/>
      <c r="H324" s="268"/>
      <c r="I324" s="268"/>
      <c r="J324" s="268"/>
      <c r="K324" s="269"/>
      <c r="L324" s="165"/>
      <c r="M324" s="165"/>
    </row>
    <row r="325" spans="2:13" ht="13.5" customHeight="1">
      <c r="B325" s="73" t="s">
        <v>851</v>
      </c>
      <c r="C325" s="223"/>
      <c r="D325" s="224"/>
      <c r="E325" s="193"/>
      <c r="F325" s="267"/>
      <c r="G325" s="268"/>
      <c r="H325" s="268"/>
      <c r="I325" s="268"/>
      <c r="J325" s="268"/>
      <c r="K325" s="269"/>
      <c r="L325" s="165"/>
      <c r="M325" s="165"/>
    </row>
    <row r="326" spans="2:13" ht="13.5" customHeight="1">
      <c r="B326" s="73" t="s">
        <v>852</v>
      </c>
      <c r="C326" s="223"/>
      <c r="D326" s="224"/>
      <c r="E326" s="193"/>
      <c r="F326" s="267"/>
      <c r="G326" s="268"/>
      <c r="H326" s="268"/>
      <c r="I326" s="268"/>
      <c r="J326" s="268"/>
      <c r="K326" s="269"/>
      <c r="L326" s="165"/>
      <c r="M326" s="165"/>
    </row>
    <row r="327" spans="2:13" ht="13.5" customHeight="1">
      <c r="B327" s="73" t="s">
        <v>853</v>
      </c>
      <c r="C327" s="223"/>
      <c r="D327" s="224"/>
      <c r="E327" s="193"/>
      <c r="F327" s="267"/>
      <c r="G327" s="268"/>
      <c r="H327" s="268"/>
      <c r="I327" s="268"/>
      <c r="J327" s="268"/>
      <c r="K327" s="269"/>
      <c r="L327" s="165"/>
      <c r="M327" s="165"/>
    </row>
    <row r="328" spans="2:13" ht="13.5" customHeight="1">
      <c r="B328" s="73" t="s">
        <v>854</v>
      </c>
      <c r="C328" s="223"/>
      <c r="D328" s="224"/>
      <c r="E328" s="193"/>
      <c r="F328" s="267"/>
      <c r="G328" s="268"/>
      <c r="H328" s="268"/>
      <c r="I328" s="268"/>
      <c r="J328" s="268"/>
      <c r="K328" s="269"/>
      <c r="L328" s="165"/>
      <c r="M328" s="165"/>
    </row>
    <row r="329" spans="2:13" ht="13.5" customHeight="1">
      <c r="B329" s="191"/>
      <c r="C329" s="190"/>
      <c r="D329" s="190"/>
      <c r="E329" s="190"/>
      <c r="F329" s="267"/>
      <c r="G329" s="268"/>
      <c r="H329" s="268"/>
      <c r="I329" s="268"/>
      <c r="J329" s="268"/>
      <c r="K329" s="269"/>
      <c r="L329" s="165"/>
      <c r="M329" s="165"/>
    </row>
    <row r="330" spans="2:13" ht="13.5" customHeight="1" thickBot="1">
      <c r="B330" s="191"/>
      <c r="C330" s="190"/>
      <c r="D330" s="190"/>
      <c r="E330" s="190"/>
      <c r="F330" s="270"/>
      <c r="G330" s="271"/>
      <c r="H330" s="271"/>
      <c r="I330" s="271"/>
      <c r="J330" s="271"/>
      <c r="K330" s="272"/>
      <c r="L330" s="165"/>
      <c r="M330" s="165"/>
    </row>
    <row r="331" spans="2:13" ht="13.5" customHeight="1">
      <c r="B331" s="191"/>
      <c r="C331" s="190"/>
      <c r="D331" s="190"/>
      <c r="E331" s="190"/>
      <c r="F331" s="190"/>
      <c r="G331" s="190"/>
      <c r="H331" s="190"/>
      <c r="I331" s="250"/>
      <c r="J331" s="190"/>
      <c r="K331" s="190"/>
      <c r="L331" s="165"/>
      <c r="M331" s="165"/>
    </row>
    <row r="332" spans="2:13" ht="13.5" customHeight="1">
      <c r="B332" s="191"/>
      <c r="C332" s="190"/>
      <c r="D332" s="190"/>
      <c r="E332" s="190"/>
      <c r="F332" s="190"/>
      <c r="G332" s="190"/>
      <c r="H332" s="190"/>
      <c r="I332" s="250"/>
      <c r="J332" s="190"/>
      <c r="K332" s="190"/>
      <c r="L332" s="165"/>
      <c r="M332" s="165"/>
    </row>
    <row r="333" spans="2:13" ht="13.5" customHeight="1">
      <c r="B333" s="43"/>
      <c r="C333" s="190"/>
      <c r="D333" s="190"/>
      <c r="E333" s="190"/>
      <c r="F333" s="190"/>
      <c r="G333" s="190"/>
      <c r="H333" s="190"/>
      <c r="I333" s="250"/>
      <c r="J333" s="190"/>
      <c r="K333" s="190"/>
      <c r="L333" s="165"/>
      <c r="M333" s="165"/>
    </row>
    <row r="334" spans="2:13" ht="13.5" customHeight="1">
      <c r="B334" s="43"/>
      <c r="C334" s="190"/>
      <c r="D334" s="190"/>
      <c r="E334" s="190"/>
      <c r="F334" s="190"/>
      <c r="G334" s="190"/>
      <c r="H334" s="190"/>
      <c r="I334" s="250"/>
      <c r="J334" s="190"/>
      <c r="K334" s="190"/>
      <c r="L334" s="165"/>
      <c r="M334" s="165"/>
    </row>
    <row r="335" spans="2:13" ht="13.5" customHeight="1">
      <c r="B335" s="43"/>
      <c r="C335" s="190"/>
      <c r="D335" s="190"/>
      <c r="E335" s="190"/>
      <c r="F335" s="190"/>
      <c r="G335" s="190"/>
      <c r="H335" s="190"/>
      <c r="I335" s="250"/>
      <c r="J335" s="190"/>
      <c r="K335" s="190"/>
      <c r="L335" s="165"/>
      <c r="M335" s="165"/>
    </row>
    <row r="336" spans="2:13" ht="14.25" customHeight="1">
      <c r="C336" s="190"/>
      <c r="D336" s="190"/>
      <c r="E336" s="190"/>
      <c r="F336" s="190"/>
      <c r="G336" s="190"/>
      <c r="H336" s="190"/>
      <c r="I336" s="250"/>
      <c r="J336" s="190"/>
      <c r="K336" s="190"/>
      <c r="L336" s="165"/>
      <c r="M336" s="165"/>
    </row>
  </sheetData>
  <sheetProtection password="DFC2" sheet="1" objects="1" scenarios="1"/>
  <mergeCells count="313">
    <mergeCell ref="I271:J271"/>
    <mergeCell ref="I276:J276"/>
    <mergeCell ref="I281:J281"/>
    <mergeCell ref="I226:J226"/>
    <mergeCell ref="I231:J231"/>
    <mergeCell ref="I236:J236"/>
    <mergeCell ref="I241:J241"/>
    <mergeCell ref="I246:J246"/>
    <mergeCell ref="I251:J251"/>
    <mergeCell ref="I256:J256"/>
    <mergeCell ref="I261:J261"/>
    <mergeCell ref="I266:J266"/>
    <mergeCell ref="I181:J181"/>
    <mergeCell ref="I186:J186"/>
    <mergeCell ref="I191:J191"/>
    <mergeCell ref="I196:J196"/>
    <mergeCell ref="I201:J201"/>
    <mergeCell ref="I206:J206"/>
    <mergeCell ref="I211:J211"/>
    <mergeCell ref="I216:J216"/>
    <mergeCell ref="I221:J221"/>
    <mergeCell ref="I136:J136"/>
    <mergeCell ref="I141:J141"/>
    <mergeCell ref="I146:J146"/>
    <mergeCell ref="I151:J151"/>
    <mergeCell ref="I156:J156"/>
    <mergeCell ref="I161:J161"/>
    <mergeCell ref="I166:J166"/>
    <mergeCell ref="I171:J171"/>
    <mergeCell ref="I176:J176"/>
    <mergeCell ref="F301:H301"/>
    <mergeCell ref="C302:H302"/>
    <mergeCell ref="C303:H303"/>
    <mergeCell ref="C8:H8"/>
    <mergeCell ref="C9:H9"/>
    <mergeCell ref="C10:H10"/>
    <mergeCell ref="C249:H249"/>
    <mergeCell ref="C250:H250"/>
    <mergeCell ref="C252:H252"/>
    <mergeCell ref="C253:H253"/>
    <mergeCell ref="C254:H254"/>
    <mergeCell ref="C255:H255"/>
    <mergeCell ref="C257:H257"/>
    <mergeCell ref="C258:H258"/>
    <mergeCell ref="C259:H259"/>
    <mergeCell ref="C278:H278"/>
    <mergeCell ref="C279:H279"/>
    <mergeCell ref="C280:H280"/>
    <mergeCell ref="C282:H282"/>
    <mergeCell ref="C260:H260"/>
    <mergeCell ref="C262:H262"/>
    <mergeCell ref="C263:H263"/>
    <mergeCell ref="C264:H264"/>
    <mergeCell ref="C265:H265"/>
    <mergeCell ref="C267:H267"/>
    <mergeCell ref="C268:H268"/>
    <mergeCell ref="C269:H269"/>
    <mergeCell ref="C270:H270"/>
    <mergeCell ref="C272:H272"/>
    <mergeCell ref="C273:H273"/>
    <mergeCell ref="C274:H274"/>
    <mergeCell ref="C275:H275"/>
    <mergeCell ref="C277:H277"/>
    <mergeCell ref="C248:H248"/>
    <mergeCell ref="C133:H133"/>
    <mergeCell ref="C134:H134"/>
    <mergeCell ref="C135:H135"/>
    <mergeCell ref="C137:H137"/>
    <mergeCell ref="C138:H138"/>
    <mergeCell ref="C139:H139"/>
    <mergeCell ref="C140:H140"/>
    <mergeCell ref="C142:H142"/>
    <mergeCell ref="C143:H143"/>
    <mergeCell ref="C153:H153"/>
    <mergeCell ref="C154:H154"/>
    <mergeCell ref="C155:H155"/>
    <mergeCell ref="C157:H157"/>
    <mergeCell ref="C158:H158"/>
    <mergeCell ref="C159:H159"/>
    <mergeCell ref="C160:H160"/>
    <mergeCell ref="C162:H162"/>
    <mergeCell ref="C163:H163"/>
    <mergeCell ref="C164:H164"/>
    <mergeCell ref="C165:H165"/>
    <mergeCell ref="C167:H167"/>
    <mergeCell ref="C238:H238"/>
    <mergeCell ref="C239:H239"/>
    <mergeCell ref="C111:H111"/>
    <mergeCell ref="C113:H113"/>
    <mergeCell ref="C114:H114"/>
    <mergeCell ref="C115:H115"/>
    <mergeCell ref="C116:H116"/>
    <mergeCell ref="C117:H117"/>
    <mergeCell ref="B109:K109"/>
    <mergeCell ref="C245:H245"/>
    <mergeCell ref="C247:H247"/>
    <mergeCell ref="C127:G127"/>
    <mergeCell ref="C128:G128"/>
    <mergeCell ref="C129:G129"/>
    <mergeCell ref="C130:G130"/>
    <mergeCell ref="C240:H240"/>
    <mergeCell ref="C242:H242"/>
    <mergeCell ref="C243:H243"/>
    <mergeCell ref="C244:H244"/>
    <mergeCell ref="K126:K130"/>
    <mergeCell ref="C118:H118"/>
    <mergeCell ref="C119:H119"/>
    <mergeCell ref="C120:H120"/>
    <mergeCell ref="C121:H121"/>
    <mergeCell ref="C122:H122"/>
    <mergeCell ref="C123:H123"/>
    <mergeCell ref="C47:E47"/>
    <mergeCell ref="C48:E48"/>
    <mergeCell ref="F47:H47"/>
    <mergeCell ref="F48:H48"/>
    <mergeCell ref="C49:H49"/>
    <mergeCell ref="C51:H51"/>
    <mergeCell ref="C52:H52"/>
    <mergeCell ref="C53:H53"/>
    <mergeCell ref="C54:H54"/>
    <mergeCell ref="C37:H37"/>
    <mergeCell ref="C39:H39"/>
    <mergeCell ref="C40:H40"/>
    <mergeCell ref="C41:H41"/>
    <mergeCell ref="C42:H42"/>
    <mergeCell ref="C43:H43"/>
    <mergeCell ref="C44:H44"/>
    <mergeCell ref="C45:H45"/>
    <mergeCell ref="C46:H46"/>
    <mergeCell ref="C30:H30"/>
    <mergeCell ref="C31:H31"/>
    <mergeCell ref="C32:H32"/>
    <mergeCell ref="C33:H33"/>
    <mergeCell ref="C34:H34"/>
    <mergeCell ref="C35:E35"/>
    <mergeCell ref="C36:E36"/>
    <mergeCell ref="F35:H35"/>
    <mergeCell ref="F36:H36"/>
    <mergeCell ref="A2:H2"/>
    <mergeCell ref="C12:H12"/>
    <mergeCell ref="C14:H14"/>
    <mergeCell ref="C15:E15"/>
    <mergeCell ref="F15:H15"/>
    <mergeCell ref="C16:H16"/>
    <mergeCell ref="C17:H17"/>
    <mergeCell ref="C18:H18"/>
    <mergeCell ref="C21:H21"/>
    <mergeCell ref="A6:K6"/>
    <mergeCell ref="A306:K320"/>
    <mergeCell ref="A112:K112"/>
    <mergeCell ref="A295:K295"/>
    <mergeCell ref="A13:K13"/>
    <mergeCell ref="A20:K20"/>
    <mergeCell ref="A27:K27"/>
    <mergeCell ref="A38:K38"/>
    <mergeCell ref="A50:K50"/>
    <mergeCell ref="B25:K25"/>
    <mergeCell ref="B26:K26"/>
    <mergeCell ref="A24:A26"/>
    <mergeCell ref="C22:H22"/>
    <mergeCell ref="C23:H23"/>
    <mergeCell ref="C28:H28"/>
    <mergeCell ref="C55:H55"/>
    <mergeCell ref="C56:H56"/>
    <mergeCell ref="C57:H57"/>
    <mergeCell ref="C58:H58"/>
    <mergeCell ref="C59:H59"/>
    <mergeCell ref="C60:H60"/>
    <mergeCell ref="C61:H61"/>
    <mergeCell ref="C62:H62"/>
    <mergeCell ref="C63:H63"/>
    <mergeCell ref="C29:H29"/>
    <mergeCell ref="C64:H64"/>
    <mergeCell ref="C65:H65"/>
    <mergeCell ref="C66:H66"/>
    <mergeCell ref="C67:H67"/>
    <mergeCell ref="C68:H68"/>
    <mergeCell ref="C69:H69"/>
    <mergeCell ref="C70:H70"/>
    <mergeCell ref="C71:H71"/>
    <mergeCell ref="C72:H72"/>
    <mergeCell ref="C73:H73"/>
    <mergeCell ref="C74:H74"/>
    <mergeCell ref="B96:K96"/>
    <mergeCell ref="C84:H84"/>
    <mergeCell ref="C85:H85"/>
    <mergeCell ref="C86:H86"/>
    <mergeCell ref="C87:H87"/>
    <mergeCell ref="C88:H88"/>
    <mergeCell ref="C89:H89"/>
    <mergeCell ref="C90:H90"/>
    <mergeCell ref="C91:H91"/>
    <mergeCell ref="C92:H92"/>
    <mergeCell ref="C93:H93"/>
    <mergeCell ref="C94:H94"/>
    <mergeCell ref="C75:H75"/>
    <mergeCell ref="C76:H76"/>
    <mergeCell ref="C77:H77"/>
    <mergeCell ref="C78:H78"/>
    <mergeCell ref="C79:H79"/>
    <mergeCell ref="C80:H80"/>
    <mergeCell ref="C81:H81"/>
    <mergeCell ref="C82:H82"/>
    <mergeCell ref="C83:H83"/>
    <mergeCell ref="A100:K100"/>
    <mergeCell ref="A110:K110"/>
    <mergeCell ref="A96:A99"/>
    <mergeCell ref="B99:K99"/>
    <mergeCell ref="C95:H95"/>
    <mergeCell ref="C101:H101"/>
    <mergeCell ref="C102:H102"/>
    <mergeCell ref="C103:E103"/>
    <mergeCell ref="F103:H103"/>
    <mergeCell ref="C104:H104"/>
    <mergeCell ref="C105:H105"/>
    <mergeCell ref="C106:H106"/>
    <mergeCell ref="C107:H107"/>
    <mergeCell ref="C108:H108"/>
    <mergeCell ref="B97:K98"/>
    <mergeCell ref="C124:H124"/>
    <mergeCell ref="C125:H125"/>
    <mergeCell ref="C126:H126"/>
    <mergeCell ref="C131:H131"/>
    <mergeCell ref="C132:H132"/>
    <mergeCell ref="C144:H144"/>
    <mergeCell ref="C145:H145"/>
    <mergeCell ref="C147:H147"/>
    <mergeCell ref="C148:H148"/>
    <mergeCell ref="C180:H180"/>
    <mergeCell ref="C182:H182"/>
    <mergeCell ref="C183:H183"/>
    <mergeCell ref="C184:H184"/>
    <mergeCell ref="C185:H185"/>
    <mergeCell ref="C149:H149"/>
    <mergeCell ref="C150:H150"/>
    <mergeCell ref="C152:H152"/>
    <mergeCell ref="C168:H168"/>
    <mergeCell ref="C169:H169"/>
    <mergeCell ref="C170:H170"/>
    <mergeCell ref="C172:H172"/>
    <mergeCell ref="C173:H173"/>
    <mergeCell ref="C174:H174"/>
    <mergeCell ref="B284:K284"/>
    <mergeCell ref="A294:K294"/>
    <mergeCell ref="B291:K291"/>
    <mergeCell ref="B293:K293"/>
    <mergeCell ref="A284:A293"/>
    <mergeCell ref="B292:K292"/>
    <mergeCell ref="B290:K290"/>
    <mergeCell ref="B286:K286"/>
    <mergeCell ref="B287:K287"/>
    <mergeCell ref="B285:K285"/>
    <mergeCell ref="B288:K288"/>
    <mergeCell ref="B289:K289"/>
    <mergeCell ref="C199:H199"/>
    <mergeCell ref="C200:H200"/>
    <mergeCell ref="C223:H223"/>
    <mergeCell ref="C202:H202"/>
    <mergeCell ref="C203:H203"/>
    <mergeCell ref="C204:H204"/>
    <mergeCell ref="C205:H205"/>
    <mergeCell ref="C207:H207"/>
    <mergeCell ref="C208:H208"/>
    <mergeCell ref="C209:H209"/>
    <mergeCell ref="C222:H222"/>
    <mergeCell ref="C296:H296"/>
    <mergeCell ref="C297:H297"/>
    <mergeCell ref="C298:H298"/>
    <mergeCell ref="C299:H299"/>
    <mergeCell ref="C300:E300"/>
    <mergeCell ref="F300:H300"/>
    <mergeCell ref="C301:E301"/>
    <mergeCell ref="I12:J12"/>
    <mergeCell ref="C210:H210"/>
    <mergeCell ref="C212:H212"/>
    <mergeCell ref="C187:H187"/>
    <mergeCell ref="C188:H188"/>
    <mergeCell ref="C189:H189"/>
    <mergeCell ref="C190:H190"/>
    <mergeCell ref="C192:H192"/>
    <mergeCell ref="C193:H193"/>
    <mergeCell ref="C194:H194"/>
    <mergeCell ref="C195:H195"/>
    <mergeCell ref="C197:H197"/>
    <mergeCell ref="C175:H175"/>
    <mergeCell ref="C177:H177"/>
    <mergeCell ref="C178:H178"/>
    <mergeCell ref="C179:H179"/>
    <mergeCell ref="C198:H198"/>
    <mergeCell ref="F322:K330"/>
    <mergeCell ref="K2:K5"/>
    <mergeCell ref="B19:K19"/>
    <mergeCell ref="B24:K24"/>
    <mergeCell ref="C11:F11"/>
    <mergeCell ref="C235:H235"/>
    <mergeCell ref="C237:H237"/>
    <mergeCell ref="C283:H283"/>
    <mergeCell ref="C224:H224"/>
    <mergeCell ref="C225:H225"/>
    <mergeCell ref="C227:H227"/>
    <mergeCell ref="C228:H228"/>
    <mergeCell ref="C229:H229"/>
    <mergeCell ref="C230:H230"/>
    <mergeCell ref="C232:H232"/>
    <mergeCell ref="C233:H233"/>
    <mergeCell ref="C234:H234"/>
    <mergeCell ref="C213:H213"/>
    <mergeCell ref="C214:H214"/>
    <mergeCell ref="C215:H215"/>
    <mergeCell ref="C217:H217"/>
    <mergeCell ref="C218:H218"/>
    <mergeCell ref="C219:H219"/>
    <mergeCell ref="C220:H220"/>
  </mergeCells>
  <phoneticPr fontId="4"/>
  <conditionalFormatting sqref="J14:J17 J21:J22 J28:J37 J39 J111 J296:J303 J41:J49 I51:J95 I101:J108 J113:J135 I113:I140 I282:I283 J137:J138 I142:I145 I147:I150 I152:I155 I157:I160 I162:I165 I167:I170 I172:I175 I177:I180 I182:I185 I187:I190 I192:I195 I197:I200 I202:I205 I207:I210 I212:I215 I217:I220 I222:I225 I227:I230 I232:I235 I237:I240 I242:I245 I247:I250 I252:I255 I257:I260 I262:I265 I267:I270 I272:I275 I277:I280">
    <cfRule type="containsText" dxfId="262" priority="334" operator="containsText" text="！">
      <formula>NOT(ISERROR(SEARCH("！",I14)))</formula>
    </cfRule>
  </conditionalFormatting>
  <conditionalFormatting sqref="C23 I23">
    <cfRule type="containsText" dxfId="261" priority="332" operator="containsText" text="（">
      <formula>NOT(ISERROR(SEARCH("（",C23)))</formula>
    </cfRule>
  </conditionalFormatting>
  <conditionalFormatting sqref="J139:J140 J147:J150 J152:J155 J157:J160 J162:J165 J167:J170 J172:J175 J177:J180 J182:J185 J187:J190 J192:J195 J197:J200 J202:J205 J207:J210 J212:J215 J217:J220 J222:J225 J227:J230 J232:J235 J237:J240 J242:J245 J247:J250 J252:J255 J257:J260 J262:J265 J267:J270 J272:J275 J277:J280 J282:J283 J142:J145">
    <cfRule type="containsText" dxfId="260" priority="331" operator="containsText" text="！">
      <formula>NOT(ISERROR(SEARCH("！",J139)))</formula>
    </cfRule>
  </conditionalFormatting>
  <conditionalFormatting sqref="I296:I303 I111 I39 I28:I37 I21:I22 I14:I17 I41:I49">
    <cfRule type="containsText" dxfId="259" priority="330" operator="containsText" text="！">
      <formula>NOT(ISERROR(SEARCH("！",I14)))</formula>
    </cfRule>
  </conditionalFormatting>
  <conditionalFormatting sqref="J40">
    <cfRule type="containsText" dxfId="258" priority="329" operator="containsText" text="！">
      <formula>NOT(ISERROR(SEARCH("！",J40)))</formula>
    </cfRule>
  </conditionalFormatting>
  <conditionalFormatting sqref="I40">
    <cfRule type="containsText" dxfId="257" priority="327" operator="containsText" text="！">
      <formula>NOT(ISERROR(SEARCH("！",I40)))</formula>
    </cfRule>
  </conditionalFormatting>
  <conditionalFormatting sqref="C23">
    <cfRule type="containsText" dxfId="256" priority="325" operator="containsText" text="20年アフターパック契約書をご確認ください">
      <formula>NOT(ISERROR(SEARCH("20年アフターパック契約書をご確認ください",C23)))</formula>
    </cfRule>
  </conditionalFormatting>
  <conditionalFormatting sqref="H127">
    <cfRule type="expression" dxfId="255" priority="282">
      <formula>$C127="任意値（右のセルに1～100の値を入力下さい） →"</formula>
    </cfRule>
    <cfRule type="expression" dxfId="254" priority="307">
      <formula>LEFT(C127,6)="デフォルト値"</formula>
    </cfRule>
    <cfRule type="expression" dxfId="253" priority="309">
      <formula>LEFT(E127,6)="デフォルト値"</formula>
    </cfRule>
  </conditionalFormatting>
  <conditionalFormatting sqref="I141">
    <cfRule type="containsText" dxfId="252" priority="304" operator="containsText" text="！">
      <formula>NOT(ISERROR(SEARCH("！",I141)))</formula>
    </cfRule>
  </conditionalFormatting>
  <conditionalFormatting sqref="C17:H17">
    <cfRule type="expression" dxfId="251" priority="296">
      <formula>$I$17="必須"</formula>
    </cfRule>
  </conditionalFormatting>
  <conditionalFormatting sqref="C21:H21">
    <cfRule type="expression" dxfId="250" priority="295">
      <formula>$I$21="必須"</formula>
    </cfRule>
  </conditionalFormatting>
  <conditionalFormatting sqref="C67:H67">
    <cfRule type="expression" dxfId="249" priority="65">
      <formula>$C$63="登録済み"</formula>
    </cfRule>
    <cfRule type="expression" dxfId="248" priority="289">
      <formula>$I67="必須"</formula>
    </cfRule>
  </conditionalFormatting>
  <conditionalFormatting sqref="C68:H69">
    <cfRule type="expression" dxfId="247" priority="288">
      <formula>$I68="必須"</formula>
    </cfRule>
  </conditionalFormatting>
  <conditionalFormatting sqref="C106:H106">
    <cfRule type="expression" dxfId="246" priority="62">
      <formula>$C$102="登録済み"</formula>
    </cfRule>
    <cfRule type="expression" dxfId="245" priority="287">
      <formula>$I106="必須"</formula>
    </cfRule>
  </conditionalFormatting>
  <conditionalFormatting sqref="C107:H108">
    <cfRule type="expression" dxfId="244" priority="286">
      <formula>$I107="必須"</formula>
    </cfRule>
  </conditionalFormatting>
  <conditionalFormatting sqref="C111:H111">
    <cfRule type="expression" dxfId="243" priority="285">
      <formula>$I$111="必須"</formula>
    </cfRule>
  </conditionalFormatting>
  <conditionalFormatting sqref="C127:G130">
    <cfRule type="expression" dxfId="242" priority="335">
      <formula>$I127="必須"</formula>
    </cfRule>
  </conditionalFormatting>
  <conditionalFormatting sqref="C125:H125">
    <cfRule type="expression" dxfId="241" priority="284">
      <formula>$I125="必須"</formula>
    </cfRule>
  </conditionalFormatting>
  <conditionalFormatting sqref="C126:H126">
    <cfRule type="expression" dxfId="240" priority="283">
      <formula>$I126="必須"</formula>
    </cfRule>
  </conditionalFormatting>
  <conditionalFormatting sqref="H128:H130">
    <cfRule type="expression" dxfId="239" priority="279">
      <formula>$C128="任意値（右のセルに1～100の値を入力下さい） →"</formula>
    </cfRule>
    <cfRule type="expression" dxfId="238" priority="280">
      <formula>LEFT(C128,6)="デフォルト値"</formula>
    </cfRule>
    <cfRule type="expression" dxfId="237" priority="281">
      <formula>LEFT(E128,6)="デフォルト値"</formula>
    </cfRule>
  </conditionalFormatting>
  <conditionalFormatting sqref="C132:H132">
    <cfRule type="expression" dxfId="236" priority="278">
      <formula>$C$131="有り"</formula>
    </cfRule>
  </conditionalFormatting>
  <conditionalFormatting sqref="C133:H133">
    <cfRule type="expression" dxfId="235" priority="277">
      <formula>$C$131="有り"</formula>
    </cfRule>
  </conditionalFormatting>
  <conditionalFormatting sqref="C138:H138">
    <cfRule type="expression" dxfId="234" priority="268">
      <formula>$I138="必須"</formula>
    </cfRule>
  </conditionalFormatting>
  <conditionalFormatting sqref="C139:H139">
    <cfRule type="expression" dxfId="233" priority="267">
      <formula>$I139="必須"</formula>
    </cfRule>
  </conditionalFormatting>
  <conditionalFormatting sqref="C142:H142">
    <cfRule type="expression" dxfId="232" priority="266">
      <formula>$I142="必須"</formula>
    </cfRule>
  </conditionalFormatting>
  <conditionalFormatting sqref="C147:H147 C145:H145">
    <cfRule type="expression" dxfId="231" priority="258">
      <formula>$B145&lt;&gt;""</formula>
    </cfRule>
  </conditionalFormatting>
  <conditionalFormatting sqref="C147:H147">
    <cfRule type="expression" dxfId="230" priority="252">
      <formula>$I147="必須"</formula>
    </cfRule>
  </conditionalFormatting>
  <conditionalFormatting sqref="C282:H282 C150:H150 C152:H152 C157:H157 C162:H162 C167:H167 C172:H172 C177:H177 C182:H182 C187:H187 C192:H192 C197:H197 C202:H202 C207:H207 C212:H212 C217:H217 C222:H222 C227:H227 C232:H232 C237:H237 C242:H242 C247:H247 C252:H252 C257:H257 C262:H262 C267:H267 C272:H272 C277:H277 C155:H155 C160:H160 C165:H165 C170:H170 C175:H175 C180:H180 C185:H185 C190:H190 C195:H195 C200:H200 C205:H205 C210:H210 C215:H215 C220:H220 C225:H225 C230:H230 C235:H235 C240:H240 C245:H245 C250:H250 C255:H255 C260:H260 C265:H265 C270:H270 C275:H275 C280:H280">
    <cfRule type="expression" dxfId="229" priority="250">
      <formula>$B150&lt;&gt;""</formula>
    </cfRule>
  </conditionalFormatting>
  <conditionalFormatting sqref="C152:H152 C157:H157 C162:H162 C167:H167 C172:H172 C177:H177 C182:H182 C187:H187 C192:H192 C197:H197 C202:H202 C207:H207 C212:H212 C217:H217 C222:H222 C227:H227 C232:H232 C237:H237 C242:H242 C247:H247 C252:H252 C257:H257 C262:H262 C267:H267 C272:H272 C277:H277 C282:H282">
    <cfRule type="expression" dxfId="228" priority="244">
      <formula>$I152="必須"</formula>
    </cfRule>
  </conditionalFormatting>
  <conditionalFormatting sqref="H136 F136">
    <cfRule type="expression" dxfId="227" priority="241">
      <formula>$I$136="必須"</formula>
    </cfRule>
  </conditionalFormatting>
  <conditionalFormatting sqref="C140:H140">
    <cfRule type="expression" dxfId="226" priority="238">
      <formula>$B140&lt;&gt;""</formula>
    </cfRule>
  </conditionalFormatting>
  <conditionalFormatting sqref="C297:H297">
    <cfRule type="expression" dxfId="225" priority="236">
      <formula>$I297="必須"</formula>
    </cfRule>
  </conditionalFormatting>
  <conditionalFormatting sqref="C302:H303 C298:H299">
    <cfRule type="expression" dxfId="224" priority="235">
      <formula>$I298="必須"</formula>
    </cfRule>
  </conditionalFormatting>
  <conditionalFormatting sqref="C300:E300">
    <cfRule type="expression" dxfId="223" priority="234">
      <formula>$I300="必須"</formula>
    </cfRule>
  </conditionalFormatting>
  <conditionalFormatting sqref="F300:H301 C301:E301">
    <cfRule type="expression" dxfId="222" priority="233">
      <formula>$I300="必須"</formula>
    </cfRule>
  </conditionalFormatting>
  <conditionalFormatting sqref="F141">
    <cfRule type="expression" dxfId="221" priority="183">
      <formula>$I141="必須"</formula>
    </cfRule>
    <cfRule type="expression" dxfId="220" priority="215">
      <formula>$B141&lt;&gt;""</formula>
    </cfRule>
  </conditionalFormatting>
  <conditionalFormatting sqref="H141">
    <cfRule type="expression" dxfId="219" priority="126">
      <formula>$I141="必須"</formula>
    </cfRule>
    <cfRule type="expression" dxfId="218" priority="214">
      <formula>$B141&lt;&gt;""</formula>
    </cfRule>
  </conditionalFormatting>
  <conditionalFormatting sqref="C283:H283 C278:H278 C273:H273 C268:H268 C263:H263 C258:H258 C253:H253 C248:H248 C243:H243 C238:H238 C233:H233 C228:H228 C223:H223 C218:H218 C213:H213 C208:H208 C203:H203 C198:H198 C193:H193 C188:H188 C183:H183 C178:H178 C173:H173 C168:H168 C163:H163 C158:H158 C153:H153 C148:H148 C143:H143">
    <cfRule type="expression" dxfId="217" priority="213">
      <formula>$I143="必須"</formula>
    </cfRule>
  </conditionalFormatting>
  <conditionalFormatting sqref="D141">
    <cfRule type="expression" dxfId="216" priority="212">
      <formula>$B141&lt;&gt;""</formula>
    </cfRule>
  </conditionalFormatting>
  <conditionalFormatting sqref="D146">
    <cfRule type="expression" dxfId="215" priority="211">
      <formula>$B146&lt;&gt;""</formula>
    </cfRule>
  </conditionalFormatting>
  <conditionalFormatting sqref="D151">
    <cfRule type="expression" dxfId="214" priority="210">
      <formula>$B151&lt;&gt;""</formula>
    </cfRule>
  </conditionalFormatting>
  <conditionalFormatting sqref="D156">
    <cfRule type="expression" dxfId="213" priority="209">
      <formula>$B156&lt;&gt;""</formula>
    </cfRule>
  </conditionalFormatting>
  <conditionalFormatting sqref="D161">
    <cfRule type="expression" dxfId="212" priority="208">
      <formula>$B161&lt;&gt;""</formula>
    </cfRule>
  </conditionalFormatting>
  <conditionalFormatting sqref="D166">
    <cfRule type="expression" dxfId="211" priority="207">
      <formula>$B166&lt;&gt;""</formula>
    </cfRule>
  </conditionalFormatting>
  <conditionalFormatting sqref="D171">
    <cfRule type="expression" dxfId="210" priority="206">
      <formula>$B171&lt;&gt;""</formula>
    </cfRule>
  </conditionalFormatting>
  <conditionalFormatting sqref="D176">
    <cfRule type="expression" dxfId="209" priority="205">
      <formula>$B176&lt;&gt;""</formula>
    </cfRule>
  </conditionalFormatting>
  <conditionalFormatting sqref="D181">
    <cfRule type="expression" dxfId="208" priority="204">
      <formula>$B181&lt;&gt;""</formula>
    </cfRule>
  </conditionalFormatting>
  <conditionalFormatting sqref="D186">
    <cfRule type="expression" dxfId="207" priority="203">
      <formula>$B186&lt;&gt;""</formula>
    </cfRule>
  </conditionalFormatting>
  <conditionalFormatting sqref="D191">
    <cfRule type="expression" dxfId="206" priority="202">
      <formula>$B191&lt;&gt;""</formula>
    </cfRule>
  </conditionalFormatting>
  <conditionalFormatting sqref="D196">
    <cfRule type="expression" dxfId="205" priority="201">
      <formula>$B196&lt;&gt;""</formula>
    </cfRule>
  </conditionalFormatting>
  <conditionalFormatting sqref="D201">
    <cfRule type="expression" dxfId="204" priority="200">
      <formula>$B201&lt;&gt;""</formula>
    </cfRule>
  </conditionalFormatting>
  <conditionalFormatting sqref="D206">
    <cfRule type="expression" dxfId="203" priority="199">
      <formula>$B206&lt;&gt;""</formula>
    </cfRule>
  </conditionalFormatting>
  <conditionalFormatting sqref="D211">
    <cfRule type="expression" dxfId="202" priority="198">
      <formula>$B211&lt;&gt;""</formula>
    </cfRule>
  </conditionalFormatting>
  <conditionalFormatting sqref="D216">
    <cfRule type="expression" dxfId="201" priority="197">
      <formula>$B216&lt;&gt;""</formula>
    </cfRule>
  </conditionalFormatting>
  <conditionalFormatting sqref="D221">
    <cfRule type="expression" dxfId="200" priority="196">
      <formula>$B221&lt;&gt;""</formula>
    </cfRule>
  </conditionalFormatting>
  <conditionalFormatting sqref="D226">
    <cfRule type="expression" dxfId="199" priority="195">
      <formula>$B226&lt;&gt;""</formula>
    </cfRule>
  </conditionalFormatting>
  <conditionalFormatting sqref="D231">
    <cfRule type="expression" dxfId="198" priority="194">
      <formula>$B231&lt;&gt;""</formula>
    </cfRule>
  </conditionalFormatting>
  <conditionalFormatting sqref="D236">
    <cfRule type="expression" dxfId="197" priority="193">
      <formula>$B236&lt;&gt;""</formula>
    </cfRule>
  </conditionalFormatting>
  <conditionalFormatting sqref="D241">
    <cfRule type="expression" dxfId="196" priority="192">
      <formula>$B241&lt;&gt;""</formula>
    </cfRule>
  </conditionalFormatting>
  <conditionalFormatting sqref="D246">
    <cfRule type="expression" dxfId="195" priority="191">
      <formula>$B246&lt;&gt;""</formula>
    </cfRule>
  </conditionalFormatting>
  <conditionalFormatting sqref="D251">
    <cfRule type="expression" dxfId="194" priority="190">
      <formula>$B251&lt;&gt;""</formula>
    </cfRule>
  </conditionalFormatting>
  <conditionalFormatting sqref="D256">
    <cfRule type="expression" dxfId="193" priority="189">
      <formula>$B256&lt;&gt;""</formula>
    </cfRule>
  </conditionalFormatting>
  <conditionalFormatting sqref="D261">
    <cfRule type="expression" dxfId="192" priority="188">
      <formula>$B261&lt;&gt;""</formula>
    </cfRule>
  </conditionalFormatting>
  <conditionalFormatting sqref="D266">
    <cfRule type="expression" dxfId="191" priority="187">
      <formula>$B266&lt;&gt;""</formula>
    </cfRule>
  </conditionalFormatting>
  <conditionalFormatting sqref="D271">
    <cfRule type="expression" dxfId="190" priority="186">
      <formula>$B271&lt;&gt;""</formula>
    </cfRule>
  </conditionalFormatting>
  <conditionalFormatting sqref="D276">
    <cfRule type="expression" dxfId="189" priority="185">
      <formula>$B276&lt;&gt;""</formula>
    </cfRule>
  </conditionalFormatting>
  <conditionalFormatting sqref="D281">
    <cfRule type="expression" dxfId="188" priority="184">
      <formula>$B281&lt;&gt;""</formula>
    </cfRule>
  </conditionalFormatting>
  <conditionalFormatting sqref="F281 F276 F271 F266 F261 F256 F251 F246 F241 F236 F231 F226 F221 F216 F211 F206 F201 F196 F191 F186 F181 F176 F171 F166 F161 F156 F151 F146">
    <cfRule type="expression" dxfId="187" priority="68">
      <formula>$I146="必須"</formula>
    </cfRule>
    <cfRule type="expression" dxfId="186" priority="69">
      <formula>$B146&lt;&gt;""</formula>
    </cfRule>
  </conditionalFormatting>
  <conditionalFormatting sqref="H281 H276 H271 H266 H261 H256 H251 H246 H241 H236 H231 H226 H221 H216 H211 H206 H201 H196 H191 H186 H181 H176 H171 H166 H161 H156 H151 H146">
    <cfRule type="expression" dxfId="185" priority="66">
      <formula>$I146="必須"</formula>
    </cfRule>
    <cfRule type="expression" dxfId="184" priority="67">
      <formula>$B146&lt;&gt;""</formula>
    </cfRule>
  </conditionalFormatting>
  <conditionalFormatting sqref="C68:H68">
    <cfRule type="expression" dxfId="183" priority="64">
      <formula>$C$63="登録済み"</formula>
    </cfRule>
  </conditionalFormatting>
  <conditionalFormatting sqref="C69:H69">
    <cfRule type="expression" dxfId="182" priority="63">
      <formula>$C$63="登録済み"</formula>
    </cfRule>
  </conditionalFormatting>
  <conditionalFormatting sqref="C107:H107">
    <cfRule type="expression" dxfId="181" priority="61">
      <formula>$C$102="登録済み"</formula>
    </cfRule>
  </conditionalFormatting>
  <conditionalFormatting sqref="C108:H108">
    <cfRule type="expression" dxfId="180" priority="60">
      <formula>$C$102="登録済み"</formula>
    </cfRule>
  </conditionalFormatting>
  <conditionalFormatting sqref="C28:H28">
    <cfRule type="expression" dxfId="179" priority="58">
      <formula>$I28="必須"</formula>
    </cfRule>
  </conditionalFormatting>
  <conditionalFormatting sqref="C29:H29">
    <cfRule type="expression" dxfId="178" priority="57">
      <formula>$I29="必須"</formula>
    </cfRule>
  </conditionalFormatting>
  <conditionalFormatting sqref="C30:H30">
    <cfRule type="expression" dxfId="177" priority="56">
      <formula>$I30="必須"</formula>
    </cfRule>
  </conditionalFormatting>
  <conditionalFormatting sqref="C31:H31">
    <cfRule type="expression" dxfId="176" priority="55">
      <formula>$I31="必須"</formula>
    </cfRule>
  </conditionalFormatting>
  <conditionalFormatting sqref="C32:H32">
    <cfRule type="expression" dxfId="175" priority="54">
      <formula>$I32="必須"</formula>
    </cfRule>
  </conditionalFormatting>
  <conditionalFormatting sqref="C33:H33">
    <cfRule type="expression" dxfId="174" priority="53">
      <formula>$I33="必須"</formula>
    </cfRule>
  </conditionalFormatting>
  <conditionalFormatting sqref="C34:H34">
    <cfRule type="expression" dxfId="173" priority="52">
      <formula>$I34="必須"</formula>
    </cfRule>
  </conditionalFormatting>
  <conditionalFormatting sqref="C35:E35">
    <cfRule type="expression" dxfId="172" priority="51">
      <formula>$I35="必須"</formula>
    </cfRule>
  </conditionalFormatting>
  <conditionalFormatting sqref="F35:H35">
    <cfRule type="expression" dxfId="171" priority="50">
      <formula>$I35="必須"</formula>
    </cfRule>
  </conditionalFormatting>
  <conditionalFormatting sqref="C36:E36">
    <cfRule type="expression" dxfId="170" priority="49">
      <formula>$I36="必須"</formula>
    </cfRule>
  </conditionalFormatting>
  <conditionalFormatting sqref="F36:H36">
    <cfRule type="expression" dxfId="169" priority="48">
      <formula>$I36="必須"</formula>
    </cfRule>
  </conditionalFormatting>
  <conditionalFormatting sqref="C37:H37">
    <cfRule type="expression" dxfId="168" priority="47">
      <formula>$I37="必須"</formula>
    </cfRule>
  </conditionalFormatting>
  <conditionalFormatting sqref="C40:H40">
    <cfRule type="expression" dxfId="167" priority="46">
      <formula>$I40="必須"</formula>
    </cfRule>
  </conditionalFormatting>
  <conditionalFormatting sqref="C41:H41">
    <cfRule type="expression" dxfId="166" priority="45">
      <formula>$I41="必須"</formula>
    </cfRule>
  </conditionalFormatting>
  <conditionalFormatting sqref="C42:H42">
    <cfRule type="expression" dxfId="165" priority="44">
      <formula>$I42="必須"</formula>
    </cfRule>
  </conditionalFormatting>
  <conditionalFormatting sqref="C43:H43">
    <cfRule type="expression" dxfId="164" priority="43">
      <formula>$I43="必須"</formula>
    </cfRule>
  </conditionalFormatting>
  <conditionalFormatting sqref="C44:H44">
    <cfRule type="expression" dxfId="163" priority="42">
      <formula>$I44="必須"</formula>
    </cfRule>
  </conditionalFormatting>
  <conditionalFormatting sqref="C45:H45">
    <cfRule type="expression" dxfId="162" priority="41">
      <formula>$I45="必須"</formula>
    </cfRule>
  </conditionalFormatting>
  <conditionalFormatting sqref="C46:H46">
    <cfRule type="expression" dxfId="161" priority="40">
      <formula>$I46="必須"</formula>
    </cfRule>
  </conditionalFormatting>
  <conditionalFormatting sqref="C47:E47">
    <cfRule type="expression" dxfId="160" priority="39">
      <formula>$I47="必須"</formula>
    </cfRule>
  </conditionalFormatting>
  <conditionalFormatting sqref="F47:H47">
    <cfRule type="expression" dxfId="159" priority="38">
      <formula>$I47="必須"</formula>
    </cfRule>
  </conditionalFormatting>
  <conditionalFormatting sqref="C48:E48">
    <cfRule type="expression" dxfId="158" priority="37">
      <formula>$I48="必須"</formula>
    </cfRule>
  </conditionalFormatting>
  <conditionalFormatting sqref="F48:H48">
    <cfRule type="expression" dxfId="157" priority="36">
      <formula>$I48="必須"</formula>
    </cfRule>
  </conditionalFormatting>
  <conditionalFormatting sqref="C49:H49">
    <cfRule type="expression" dxfId="156" priority="35">
      <formula>$I49="必須"</formula>
    </cfRule>
  </conditionalFormatting>
  <conditionalFormatting sqref="I14:I18 I21:I23 I28:I37 I39:I49 I51:I95 I101:I108 I111 I296:I303 I282:I283 I113:I145 I147:I150 I152:I155 I157:I160 I162:I165 I167:I170 I172:I175 I177:I180 I182:I185 I187:I190 I192:I195 I197:I200 I202:I205 I207:I210 I212:I215 I217:I220 I222:I225 I227:I230 I232:I235 I237:I240 I242:I245 I247:I250 I252:I255 I257:I260 I262:I265 I267:I270 I272:I275 I277:I280">
    <cfRule type="containsText" dxfId="155" priority="34" operator="containsText" text="必須">
      <formula>NOT(ISERROR(SEARCH("必須",I14)))</formula>
    </cfRule>
  </conditionalFormatting>
  <conditionalFormatting sqref="I281 I276 I271 I266 I261 I256 I251 I246 I241 I236 I231 I226 I221 I216 I211 I206 I201 I196 I191 I186 I181 I176 I171 I166 I161 I156 I151 I146">
    <cfRule type="containsText" dxfId="154" priority="30" operator="containsText" text="！">
      <formula>NOT(ISERROR(SEARCH("！",I146)))</formula>
    </cfRule>
  </conditionalFormatting>
  <conditionalFormatting sqref="I281 I276 I271 I266 I261 I256 I251 I246 I241 I236 I231 I226 I221 I216 I211 I206 I201 I196 I191 I186 I181 I176 I171 I166 I161 I156 I151 I146">
    <cfRule type="containsText" dxfId="153" priority="29" operator="containsText" text="必須">
      <formula>NOT(ISERROR(SEARCH("必須",I146)))</formula>
    </cfRule>
  </conditionalFormatting>
  <conditionalFormatting sqref="C144:H144">
    <cfRule type="expression" dxfId="152" priority="28">
      <formula>$I144="必須"</formula>
    </cfRule>
  </conditionalFormatting>
  <conditionalFormatting sqref="C149:H149">
    <cfRule type="expression" dxfId="151" priority="27">
      <formula>$I149="必須"</formula>
    </cfRule>
  </conditionalFormatting>
  <conditionalFormatting sqref="C154:H154">
    <cfRule type="expression" dxfId="150" priority="26">
      <formula>$I154="必須"</formula>
    </cfRule>
  </conditionalFormatting>
  <conditionalFormatting sqref="C159:H159">
    <cfRule type="expression" dxfId="149" priority="25">
      <formula>$I159="必須"</formula>
    </cfRule>
  </conditionalFormatting>
  <conditionalFormatting sqref="C164:H164">
    <cfRule type="expression" dxfId="148" priority="24">
      <formula>$I164="必須"</formula>
    </cfRule>
  </conditionalFormatting>
  <conditionalFormatting sqref="C169:H169">
    <cfRule type="expression" dxfId="147" priority="23">
      <formula>$I169="必須"</formula>
    </cfRule>
  </conditionalFormatting>
  <conditionalFormatting sqref="C174:H174">
    <cfRule type="expression" dxfId="146" priority="22">
      <formula>$I174="必須"</formula>
    </cfRule>
  </conditionalFormatting>
  <conditionalFormatting sqref="C179:H179">
    <cfRule type="expression" dxfId="145" priority="21">
      <formula>$I179="必須"</formula>
    </cfRule>
  </conditionalFormatting>
  <conditionalFormatting sqref="C184:H184">
    <cfRule type="expression" dxfId="144" priority="20">
      <formula>$I184="必須"</formula>
    </cfRule>
  </conditionalFormatting>
  <conditionalFormatting sqref="C189:H189">
    <cfRule type="expression" dxfId="143" priority="19">
      <formula>$I189="必須"</formula>
    </cfRule>
  </conditionalFormatting>
  <conditionalFormatting sqref="C194:H194">
    <cfRule type="expression" dxfId="142" priority="18">
      <formula>$I194="必須"</formula>
    </cfRule>
  </conditionalFormatting>
  <conditionalFormatting sqref="C199:H199">
    <cfRule type="expression" dxfId="141" priority="17">
      <formula>$I199="必須"</formula>
    </cfRule>
  </conditionalFormatting>
  <conditionalFormatting sqref="C204:H204">
    <cfRule type="expression" dxfId="140" priority="16">
      <formula>$I204="必須"</formula>
    </cfRule>
  </conditionalFormatting>
  <conditionalFormatting sqref="C209:H209">
    <cfRule type="expression" dxfId="139" priority="15">
      <formula>$I209="必須"</formula>
    </cfRule>
  </conditionalFormatting>
  <conditionalFormatting sqref="C214:H214">
    <cfRule type="expression" dxfId="138" priority="14">
      <formula>$I214="必須"</formula>
    </cfRule>
  </conditionalFormatting>
  <conditionalFormatting sqref="C219:H219">
    <cfRule type="expression" dxfId="137" priority="13">
      <formula>$I219="必須"</formula>
    </cfRule>
  </conditionalFormatting>
  <conditionalFormatting sqref="C224:H224">
    <cfRule type="expression" dxfId="136" priority="12">
      <formula>$I224="必須"</formula>
    </cfRule>
  </conditionalFormatting>
  <conditionalFormatting sqref="C229:H229">
    <cfRule type="expression" dxfId="135" priority="11">
      <formula>$I229="必須"</formula>
    </cfRule>
  </conditionalFormatting>
  <conditionalFormatting sqref="C234:H234">
    <cfRule type="expression" dxfId="134" priority="10">
      <formula>$I234="必須"</formula>
    </cfRule>
  </conditionalFormatting>
  <conditionalFormatting sqref="C239:H239">
    <cfRule type="expression" dxfId="133" priority="9">
      <formula>$I239="必須"</formula>
    </cfRule>
  </conditionalFormatting>
  <conditionalFormatting sqref="C244:H244">
    <cfRule type="expression" dxfId="132" priority="8">
      <formula>$I244="必須"</formula>
    </cfRule>
  </conditionalFormatting>
  <conditionalFormatting sqref="C249:H249">
    <cfRule type="expression" dxfId="131" priority="7">
      <formula>$I249="必須"</formula>
    </cfRule>
  </conditionalFormatting>
  <conditionalFormatting sqref="C254:H254">
    <cfRule type="expression" dxfId="130" priority="6">
      <formula>$I254="必須"</formula>
    </cfRule>
  </conditionalFormatting>
  <conditionalFormatting sqref="C259:H259">
    <cfRule type="expression" dxfId="129" priority="5">
      <formula>$I259="必須"</formula>
    </cfRule>
  </conditionalFormatting>
  <conditionalFormatting sqref="C264:H264">
    <cfRule type="expression" dxfId="128" priority="4">
      <formula>$I264="必須"</formula>
    </cfRule>
  </conditionalFormatting>
  <conditionalFormatting sqref="C269:H269">
    <cfRule type="expression" dxfId="127" priority="3">
      <formula>$I269="必須"</formula>
    </cfRule>
  </conditionalFormatting>
  <conditionalFormatting sqref="C274:H274">
    <cfRule type="expression" dxfId="126" priority="2">
      <formula>$I274="必須"</formula>
    </cfRule>
  </conditionalFormatting>
  <conditionalFormatting sqref="C279:H279">
    <cfRule type="expression" dxfId="125" priority="1">
      <formula>$I279="必須"</formula>
    </cfRule>
  </conditionalFormatting>
  <dataValidations count="29">
    <dataValidation type="list" allowBlank="1" showInputMessage="1" showErrorMessage="1" sqref="C63 C71 C102">
      <formula1>"新規登録,登録済み"</formula1>
    </dataValidation>
    <dataValidation type="list" allowBlank="1" showInputMessage="1" showErrorMessage="1" sqref="C51">
      <formula1>"北海道電力,東北電力,東京電力,北陸電力,中部電力,関西電力,中国電力,四国電力,九州電力,沖縄電力"</formula1>
    </dataValidation>
    <dataValidation imeMode="halfAlpha" allowBlank="1" showInputMessage="1" showErrorMessage="1" sqref="C14 C113:C114 C17 C21:C22 C28:C29 C92 C125 C54:C55 C65:C66 C74 C77 C80 C83 C86 C89 F15 C95 C59:C60 C104:C105 C37 C302:C303 C132 D136 F136 H136 C280:H280 D276 F271 D141 F141 H141 C282:H282 D281 F276 D146 H276 F281 D151 F146 H146 D156 F151 H151 D161 F156 H156 D166 F161 H161 D171 F166 H166 D176 F171 H171 D181 F176 H176 D186 F181 H181 D191 F186 H186 D196 F191 H191 D201 F196 H196 D206 F201 H201 D211 F206 H206 D216 F211 H211 D221 F216 H216 D226 F221 H221 D231 F226 H226 D236 F231 H231 D241 F236 H236 D246 F241 H241 D251 F246 H246 D256 F251 H251 D261 F256 H256 D266 F261 H261 D271 F266 H266 C135:H135 C140:H140 C145:H145 C150:H150 C155:H155 C160:H160 C165:H165 C170:H170 C175:H175 C180:H180 C185:H185 C190:H190 C195:H195 C200:H200 C205:H205 C210:H210 C215:H215 C220:H220 C225:H225 C230:H230 C235:H235 C240:H240 C245:H245 C250:H250 C255:H255 C260:H260 C265:H265 C270:H270 C275:H275 H271 C137:H137 C142:H142 C147:H147 C152:H152 C157:H157 C162:H162 C167:H167 C172:H172 C177:H177 C182:H182 C187:H187 C192:H192 C197:H197 C202:H202 C207:H207 C212:H212 C217:H217 C222:H222 C227:H227 C232:H232 C237:H237 C242:H242 C247:H247 C252:H252 C257:H257 C262:H262 C267:H267 C272:H272 C277:H277 H281 C323:D328 C40:C41 C49"/>
    <dataValidation type="list" allowBlank="1" showInputMessage="1" showErrorMessage="1" sqref="C124">
      <formula1>"無し,有り"</formula1>
    </dataValidation>
    <dataValidation type="list" allowBlank="1" showInputMessage="1" showErrorMessage="1" sqref="C121">
      <formula1>"0,15,30,45,60,75,90,105,120,135,150,165,180"</formula1>
    </dataValidation>
    <dataValidation type="list" allowBlank="1" showInputMessage="1" showErrorMessage="1" sqref="C122">
      <formula1>"0,10,20,30,40,50,60,70,80,90"</formula1>
    </dataValidation>
    <dataValidation type="list" allowBlank="1" showInputMessage="1" showErrorMessage="1" sqref="C297">
      <formula1>"３項記載内容と同じです,４項記載内容と同じです,下記連絡先になります"</formula1>
    </dataValidation>
    <dataValidation type="list" allowBlank="1" showInputMessage="1" showErrorMessage="1" sqref="C32 C44">
      <formula1>"個人,法人"</formula1>
    </dataValidation>
    <dataValidation imeMode="fullKatakana" allowBlank="1" showInputMessage="1" showErrorMessage="1" sqref="C90 C87 C30 C93 C33 C52 C57 C72 C75 C78 C81 C84 C298 C42 C45"/>
    <dataValidation imeMode="hiragana" allowBlank="1" showInputMessage="1" showErrorMessage="1" sqref="C85 C82 C31 C94 C34 C53 C56 C88 C91 C58 C70 C73 C76 C79 C299 C43 C46"/>
    <dataValidation type="list" allowBlank="1" showInputMessage="1" showErrorMessage="1" sqref="C61">
      <formula1>"世界測地系,日本測地系"</formula1>
    </dataValidation>
    <dataValidation type="list" allowBlank="1" showInputMessage="1" showErrorMessage="1" sqref="C67:C69 C106:C108">
      <formula1>"通知あり,通知なし"</formula1>
    </dataValidation>
    <dataValidation type="list" allowBlank="1" showInputMessage="1" showErrorMessage="1" sqref="C111">
      <formula1>"５項記載の発電事業オーナー様,６項記載の保守責任事業者様"</formula1>
    </dataValidation>
    <dataValidation type="list" allowBlank="1" showInputMessage="1" showErrorMessage="1" sqref="C116">
      <formula1>"3相3線,単相3線"</formula1>
    </dataValidation>
    <dataValidation type="list" allowBlank="1" showInputMessage="1" showErrorMessage="1" sqref="C131">
      <formula1>"有り,無し"</formula1>
    </dataValidation>
    <dataValidation imeMode="hiragana" allowBlank="1" showInputMessage="1" showErrorMessage="1" prompt="名" sqref="F103 F301 F36 F48"/>
    <dataValidation imeMode="fullKatakana" allowBlank="1" showInputMessage="1" showErrorMessage="1" prompt="　　氏_x000a_（フリガナ）" sqref="C35 C300 C47"/>
    <dataValidation imeMode="fullKatakana" allowBlank="1" showInputMessage="1" showErrorMessage="1" prompt="　　名_x000a_（フリガナ）" sqref="F300 F35 F47"/>
    <dataValidation imeMode="hiragana" allowBlank="1" showInputMessage="1" showErrorMessage="1" prompt="氏" sqref="C103 C36 C301 C48"/>
    <dataValidation imeMode="hiragana" allowBlank="1" showInputMessage="1" showErrorMessage="1" prompt="個人名の場合、氏／名の間にスペースを入れてください。" sqref="C64 C62 C101"/>
    <dataValidation type="list" allowBlank="1" showInputMessage="1" showErrorMessage="1" sqref="C138:H138 C278:H278 C143:H143 C148:H148 C153:H153 C158:H158 C163:H163 C168:H168 C173:H173 C178:H178 C183:H183 C188:H188 C193:H193 C198:H198 C203:H203 C208:H208 C213:H213 C218:H218 C223:H223 C228:H228 C233:H233 C238:H238 C243:H243 C248:H248 C253:H253 C258:H258 C263:H263 C268:H268 C273:H273 C283:H283">
      <formula1>"する,しない"</formula1>
    </dataValidation>
    <dataValidation type="list" imeMode="halfAlpha" allowBlank="1" showInputMessage="1" showErrorMessage="1" sqref="C39">
      <formula1>"同じ,違う"</formula1>
    </dataValidation>
    <dataValidation type="list" allowBlank="1" showInputMessage="1" showErrorMessage="1" sqref="C18">
      <formula1>"SIMカード方式,LAN接続方式"</formula1>
    </dataValidation>
    <dataValidation imeMode="halfAlpha" allowBlank="1" showInputMessage="1" showErrorMessage="1" prompt="数値のみ記入_x000a_（単位は記入しないでください）" sqref="C120 C115 C117 C123"/>
    <dataValidation type="list" imeMode="halfAlpha" allowBlank="1" showInputMessage="1" showErrorMessage="1" sqref="C126">
      <formula1>"デフォルト（通知する）,通知しない"</formula1>
    </dataValidation>
    <dataValidation type="list" imeMode="halfAlpha" allowBlank="1" showInputMessage="1" showErrorMessage="1" sqref="C127:G128">
      <formula1>"デフォルト値（50）,任意値（右のセルに1～100の値を入力下さい） →"</formula1>
    </dataValidation>
    <dataValidation type="list" imeMode="halfAlpha" allowBlank="1" showInputMessage="1" showErrorMessage="1" sqref="C129:G130">
      <formula1>"デフォルト値（70）,任意値（右のセルに1～100の値を入力下さい） →"</formula1>
    </dataValidation>
    <dataValidation type="list" allowBlank="1" showInputMessage="1" showErrorMessage="1" sqref="C296">
      <formula1>"注文済みです,現地初期設定サービス（有料）の見積りを依頼します,遠隔初期設定サービス（有料）の見積りを依頼します,不要です"</formula1>
    </dataValidation>
    <dataValidation type="list" imeMode="halfAlpha" allowBlank="1" showInputMessage="1" showErrorMessage="1" sqref="C133:H133">
      <formula1>"5,6,7,8,9,10"</formula1>
    </dataValidation>
  </dataValidations>
  <pageMargins left="0.55118110236220474" right="0.19685039370078741" top="0.23622047244094491" bottom="0.35433070866141736" header="0.19685039370078741" footer="0.19685039370078741"/>
  <pageSetup paperSize="9" scale="62" orientation="portrait" r:id="rId1"/>
  <headerFooter>
    <oddFooter xml:space="preserve">&amp;C&amp;P / &amp;N </oddFooter>
  </headerFooter>
  <rowBreaks count="3" manualBreakCount="3">
    <brk id="69" max="10" man="1"/>
    <brk id="158" max="10" man="1"/>
    <brk id="253" max="10"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監視サービス種別!$B$1:$B$25</xm:f>
          </x14:formula1>
          <xm:sqref>C16</xm:sqref>
        </x14:dataValidation>
        <x14:dataValidation type="list" imeMode="halfAlpha" allowBlank="1" showInputMessage="1" showErrorMessage="1">
          <x14:formula1>
            <xm:f>PCS型名!$A$1:$A$13</xm:f>
          </x14:formula1>
          <xm:sqref>C134:H134</xm:sqref>
        </x14:dataValidation>
        <x14:dataValidation type="list" imeMode="halfAlpha" allowBlank="1" showInputMessage="1" showErrorMessage="1">
          <x14:formula1>
            <xm:f>PCS型名!$A$1:$A$13</xm:f>
          </x14:formula1>
          <xm:sqref>C139:H139 C144:H144 C149:H149 C154:H154 C159:H159 C164:H164 C169:H169 C174:H174 C179:H179 C184:H184 C189:H189 C194:H194 C199:H199 C204:H204 C209:H209 C214:H214 C219:H219 C224:H224 C229:H229 C234:H234 C239:H239 C244:H244 C249:H249 C254:H254 C259:H259 C264:H264 C269:H269 C274:H274 C279:H279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zoomScaleNormal="100" zoomScaleSheetLayoutView="100" workbookViewId="0"/>
  </sheetViews>
  <sheetFormatPr defaultRowHeight="13"/>
  <cols>
    <col min="1" max="1" width="3.453125" bestFit="1" customWidth="1"/>
    <col min="2" max="2" width="35.08984375" bestFit="1" customWidth="1"/>
  </cols>
  <sheetData>
    <row r="1" spans="1:2" ht="27" customHeight="1">
      <c r="A1" s="172">
        <v>1</v>
      </c>
      <c r="B1" s="172" t="s">
        <v>154</v>
      </c>
    </row>
    <row r="2" spans="1:2" ht="27" customHeight="1">
      <c r="A2" s="175">
        <v>2</v>
      </c>
      <c r="B2" s="176" t="s">
        <v>793</v>
      </c>
    </row>
    <row r="3" spans="1:2" ht="27" customHeight="1">
      <c r="A3" s="173">
        <v>3</v>
      </c>
      <c r="B3" s="174" t="s">
        <v>939</v>
      </c>
    </row>
    <row r="4" spans="1:2" ht="27" customHeight="1">
      <c r="A4" s="172">
        <v>4</v>
      </c>
      <c r="B4" s="172" t="s">
        <v>155</v>
      </c>
    </row>
    <row r="5" spans="1:2" ht="27" customHeight="1">
      <c r="A5" s="173">
        <v>5</v>
      </c>
      <c r="B5" s="174" t="s">
        <v>940</v>
      </c>
    </row>
    <row r="6" spans="1:2" ht="27" customHeight="1">
      <c r="A6" s="172">
        <v>6</v>
      </c>
      <c r="B6" s="172" t="s">
        <v>156</v>
      </c>
    </row>
    <row r="7" spans="1:2" ht="27" customHeight="1">
      <c r="A7" s="173">
        <v>7</v>
      </c>
      <c r="B7" s="174" t="s">
        <v>941</v>
      </c>
    </row>
    <row r="8" spans="1:2" ht="27" customHeight="1">
      <c r="A8" s="172">
        <v>8</v>
      </c>
      <c r="B8" s="172" t="s">
        <v>157</v>
      </c>
    </row>
    <row r="9" spans="1:2" ht="27" customHeight="1">
      <c r="A9" s="173">
        <v>9</v>
      </c>
      <c r="B9" s="174" t="s">
        <v>794</v>
      </c>
    </row>
    <row r="10" spans="1:2" ht="27" customHeight="1">
      <c r="A10" s="172">
        <v>10</v>
      </c>
      <c r="B10" s="172" t="s">
        <v>158</v>
      </c>
    </row>
    <row r="11" spans="1:2" ht="27" customHeight="1">
      <c r="A11" s="173">
        <v>11</v>
      </c>
      <c r="B11" s="174" t="s">
        <v>795</v>
      </c>
    </row>
    <row r="12" spans="1:2" ht="27" customHeight="1">
      <c r="A12" s="172">
        <v>12</v>
      </c>
      <c r="B12" s="172" t="s">
        <v>790</v>
      </c>
    </row>
    <row r="13" spans="1:2" ht="27" customHeight="1">
      <c r="A13" s="173">
        <v>13</v>
      </c>
      <c r="B13" s="174" t="s">
        <v>796</v>
      </c>
    </row>
    <row r="14" spans="1:2" ht="27" customHeight="1">
      <c r="A14" s="172">
        <v>14</v>
      </c>
      <c r="B14" s="172" t="s">
        <v>938</v>
      </c>
    </row>
    <row r="15" spans="1:2" ht="27" customHeight="1">
      <c r="A15" s="173">
        <v>15</v>
      </c>
      <c r="B15" s="174" t="s">
        <v>937</v>
      </c>
    </row>
    <row r="16" spans="1:2" ht="27" customHeight="1">
      <c r="A16" s="172">
        <v>16</v>
      </c>
      <c r="B16" s="172" t="s">
        <v>788</v>
      </c>
    </row>
    <row r="17" spans="1:2" ht="27" customHeight="1">
      <c r="A17" s="173">
        <v>17</v>
      </c>
      <c r="B17" s="174" t="s">
        <v>797</v>
      </c>
    </row>
    <row r="18" spans="1:2" ht="27" customHeight="1">
      <c r="A18" s="172">
        <v>18</v>
      </c>
      <c r="B18" s="172" t="s">
        <v>789</v>
      </c>
    </row>
    <row r="19" spans="1:2" ht="27" customHeight="1">
      <c r="A19" s="173">
        <v>19</v>
      </c>
      <c r="B19" s="174" t="s">
        <v>798</v>
      </c>
    </row>
    <row r="20" spans="1:2" ht="27" customHeight="1">
      <c r="A20" s="172">
        <v>20</v>
      </c>
      <c r="B20" s="177" t="s">
        <v>933</v>
      </c>
    </row>
    <row r="21" spans="1:2" ht="27" customHeight="1">
      <c r="A21" s="173">
        <v>21</v>
      </c>
      <c r="B21" s="174" t="s">
        <v>934</v>
      </c>
    </row>
    <row r="22" spans="1:2" ht="27" customHeight="1">
      <c r="A22" s="172">
        <v>22</v>
      </c>
      <c r="B22" s="172" t="s">
        <v>539</v>
      </c>
    </row>
    <row r="23" spans="1:2" ht="27" customHeight="1">
      <c r="A23" s="175">
        <v>23</v>
      </c>
      <c r="B23" s="175" t="s">
        <v>791</v>
      </c>
    </row>
    <row r="24" spans="1:2" ht="27" customHeight="1">
      <c r="A24" s="175">
        <v>24</v>
      </c>
      <c r="B24" s="176" t="s">
        <v>935</v>
      </c>
    </row>
    <row r="25" spans="1:2" ht="27" customHeight="1">
      <c r="A25" s="173">
        <v>25</v>
      </c>
      <c r="B25" s="174" t="s">
        <v>936</v>
      </c>
    </row>
  </sheetData>
  <sheetProtection password="DFC2" sheet="1" objects="1" scenarios="1"/>
  <phoneticPr fontId="4"/>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7"/>
  <sheetViews>
    <sheetView workbookViewId="0"/>
  </sheetViews>
  <sheetFormatPr defaultRowHeight="13"/>
  <cols>
    <col min="1" max="1" width="28.7265625" bestFit="1" customWidth="1"/>
    <col min="2" max="2" width="38.36328125" customWidth="1"/>
    <col min="3" max="3" width="6.36328125" style="82" customWidth="1"/>
    <col min="4" max="4" width="14.08984375" bestFit="1" customWidth="1"/>
    <col min="5" max="5" width="8.36328125" bestFit="1" customWidth="1"/>
  </cols>
  <sheetData>
    <row r="2" spans="1:5">
      <c r="A2" t="s">
        <v>513</v>
      </c>
      <c r="B2" s="81" t="str">
        <f>LEFT(監視サービス登録書!C132,25)</f>
        <v/>
      </c>
      <c r="C2" s="82">
        <v>1</v>
      </c>
      <c r="D2" t="s">
        <v>488</v>
      </c>
      <c r="E2" t="e">
        <f>MID(B2,1,1)*1</f>
        <v>#VALUE!</v>
      </c>
    </row>
    <row r="3" spans="1:5">
      <c r="A3" s="83" t="s">
        <v>514</v>
      </c>
      <c r="B3" s="83" t="e">
        <f>CONCATENATE(B2,RIGHT(E27,1))</f>
        <v>#VALUE!</v>
      </c>
      <c r="C3" s="82">
        <v>3</v>
      </c>
      <c r="D3" t="s">
        <v>489</v>
      </c>
      <c r="E3" t="e">
        <f>MID(B2,2,1)*3</f>
        <v>#VALUE!</v>
      </c>
    </row>
    <row r="4" spans="1:5">
      <c r="C4" s="82">
        <v>5</v>
      </c>
      <c r="D4" t="s">
        <v>490</v>
      </c>
      <c r="E4" t="e">
        <f>MID(B2,3,1)*5</f>
        <v>#VALUE!</v>
      </c>
    </row>
    <row r="5" spans="1:5">
      <c r="C5" s="82">
        <v>7</v>
      </c>
      <c r="D5" t="s">
        <v>491</v>
      </c>
      <c r="E5" t="e">
        <f>MID(B2,4,1)*7</f>
        <v>#VALUE!</v>
      </c>
    </row>
    <row r="6" spans="1:5">
      <c r="C6" s="82">
        <v>9</v>
      </c>
      <c r="D6" t="s">
        <v>492</v>
      </c>
      <c r="E6" t="e">
        <f>MID(B2,5,1)*9</f>
        <v>#VALUE!</v>
      </c>
    </row>
    <row r="7" spans="1:5">
      <c r="C7" s="82">
        <v>1</v>
      </c>
      <c r="D7" t="s">
        <v>493</v>
      </c>
      <c r="E7" t="e">
        <f>MID(B2,6,1)*1</f>
        <v>#VALUE!</v>
      </c>
    </row>
    <row r="8" spans="1:5">
      <c r="C8" s="82">
        <v>3</v>
      </c>
      <c r="D8" t="s">
        <v>494</v>
      </c>
      <c r="E8" t="e">
        <f>MID(B2,7,1)*3</f>
        <v>#VALUE!</v>
      </c>
    </row>
    <row r="9" spans="1:5">
      <c r="C9" s="82">
        <v>5</v>
      </c>
      <c r="D9" t="s">
        <v>495</v>
      </c>
      <c r="E9" t="e">
        <f>MID(B2,8,1)*5</f>
        <v>#VALUE!</v>
      </c>
    </row>
    <row r="10" spans="1:5">
      <c r="C10" s="82">
        <v>7</v>
      </c>
      <c r="D10" t="s">
        <v>496</v>
      </c>
      <c r="E10" t="e">
        <f>MID(B2,9,1)*7</f>
        <v>#VALUE!</v>
      </c>
    </row>
    <row r="11" spans="1:5">
      <c r="C11" s="82">
        <v>9</v>
      </c>
      <c r="D11" t="s">
        <v>497</v>
      </c>
      <c r="E11" t="e">
        <f>MID(B2,10,1)*9</f>
        <v>#VALUE!</v>
      </c>
    </row>
    <row r="12" spans="1:5">
      <c r="C12" s="82">
        <v>1</v>
      </c>
      <c r="D12" t="s">
        <v>498</v>
      </c>
      <c r="E12" t="e">
        <f>MID(B2,11,1)*1</f>
        <v>#VALUE!</v>
      </c>
    </row>
    <row r="13" spans="1:5">
      <c r="C13" s="82">
        <v>3</v>
      </c>
      <c r="D13" t="s">
        <v>499</v>
      </c>
      <c r="E13" t="e">
        <f>MID(B2,12,1)*3</f>
        <v>#VALUE!</v>
      </c>
    </row>
    <row r="14" spans="1:5">
      <c r="C14" s="82">
        <v>5</v>
      </c>
      <c r="D14" t="s">
        <v>500</v>
      </c>
      <c r="E14" t="e">
        <f>MID(B2,13,1)*5</f>
        <v>#VALUE!</v>
      </c>
    </row>
    <row r="15" spans="1:5">
      <c r="C15" s="82">
        <v>7</v>
      </c>
      <c r="D15" t="s">
        <v>501</v>
      </c>
      <c r="E15" t="e">
        <f>MID(B2,14,1)*7</f>
        <v>#VALUE!</v>
      </c>
    </row>
    <row r="16" spans="1:5">
      <c r="C16" s="82">
        <v>9</v>
      </c>
      <c r="D16" t="s">
        <v>502</v>
      </c>
      <c r="E16" t="e">
        <f>MID(B2,15,1)*9</f>
        <v>#VALUE!</v>
      </c>
    </row>
    <row r="17" spans="3:5">
      <c r="C17" s="82">
        <v>1</v>
      </c>
      <c r="D17" t="s">
        <v>503</v>
      </c>
      <c r="E17" t="e">
        <f>MID(B2,16,1)*1</f>
        <v>#VALUE!</v>
      </c>
    </row>
    <row r="18" spans="3:5">
      <c r="C18" s="82">
        <v>3</v>
      </c>
      <c r="D18" t="s">
        <v>504</v>
      </c>
      <c r="E18" t="e">
        <f>MID(B2,17,1)*3</f>
        <v>#VALUE!</v>
      </c>
    </row>
    <row r="19" spans="3:5">
      <c r="C19" s="82">
        <v>5</v>
      </c>
      <c r="D19" t="s">
        <v>505</v>
      </c>
      <c r="E19" t="e">
        <f>MID(B2,18,1)*5</f>
        <v>#VALUE!</v>
      </c>
    </row>
    <row r="20" spans="3:5">
      <c r="C20" s="82">
        <v>7</v>
      </c>
      <c r="D20" t="s">
        <v>506</v>
      </c>
      <c r="E20" t="e">
        <f>MID(B2,19,1)*7</f>
        <v>#VALUE!</v>
      </c>
    </row>
    <row r="21" spans="3:5">
      <c r="C21" s="82">
        <v>9</v>
      </c>
      <c r="D21" t="s">
        <v>507</v>
      </c>
      <c r="E21" t="e">
        <f>MID(B2,20,1)*9</f>
        <v>#VALUE!</v>
      </c>
    </row>
    <row r="22" spans="3:5">
      <c r="C22" s="82">
        <v>1</v>
      </c>
      <c r="D22" t="s">
        <v>508</v>
      </c>
      <c r="E22" t="e">
        <f>MID(B2,21,1)*1</f>
        <v>#VALUE!</v>
      </c>
    </row>
    <row r="23" spans="3:5">
      <c r="C23" s="82">
        <v>3</v>
      </c>
      <c r="D23" t="s">
        <v>509</v>
      </c>
      <c r="E23" t="e">
        <f>MID(B2,22,1)*3</f>
        <v>#VALUE!</v>
      </c>
    </row>
    <row r="24" spans="3:5">
      <c r="C24" s="82">
        <v>5</v>
      </c>
      <c r="D24" t="s">
        <v>510</v>
      </c>
      <c r="E24" t="e">
        <f>MID(B2,23,1)*5</f>
        <v>#VALUE!</v>
      </c>
    </row>
    <row r="25" spans="3:5">
      <c r="C25" s="82">
        <v>7</v>
      </c>
      <c r="D25" t="s">
        <v>511</v>
      </c>
      <c r="E25" t="e">
        <f>MID(B2,24,1)*7</f>
        <v>#VALUE!</v>
      </c>
    </row>
    <row r="26" spans="3:5">
      <c r="C26" s="82">
        <v>9</v>
      </c>
      <c r="D26" t="s">
        <v>512</v>
      </c>
      <c r="E26" t="e">
        <f>MID(B2,25,1)*9</f>
        <v>#VALUE!</v>
      </c>
    </row>
    <row r="27" spans="3:5">
      <c r="E27" s="83" t="e">
        <f>SUM(E2:E26)</f>
        <v>#VALUE!</v>
      </c>
    </row>
  </sheetData>
  <sheetProtection password="DFC2" sheet="1" objects="1" scenarios="1"/>
  <phoneticPr fontId="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C8" sqref="C8"/>
    </sheetView>
  </sheetViews>
  <sheetFormatPr defaultRowHeight="13"/>
  <cols>
    <col min="1" max="1" width="13.7265625" bestFit="1" customWidth="1"/>
  </cols>
  <sheetData>
    <row r="1" spans="1:1">
      <c r="A1" t="s">
        <v>1048</v>
      </c>
    </row>
    <row r="2" spans="1:1">
      <c r="A2" t="s">
        <v>1049</v>
      </c>
    </row>
    <row r="3" spans="1:1">
      <c r="A3" t="s">
        <v>709</v>
      </c>
    </row>
    <row r="4" spans="1:1">
      <c r="A4" t="s">
        <v>899</v>
      </c>
    </row>
    <row r="5" spans="1:1">
      <c r="A5" t="s">
        <v>898</v>
      </c>
    </row>
    <row r="6" spans="1:1">
      <c r="A6" t="s">
        <v>891</v>
      </c>
    </row>
    <row r="7" spans="1:1">
      <c r="A7" t="s">
        <v>900</v>
      </c>
    </row>
    <row r="8" spans="1:1">
      <c r="A8" t="s">
        <v>892</v>
      </c>
    </row>
    <row r="9" spans="1:1">
      <c r="A9" t="s">
        <v>895</v>
      </c>
    </row>
    <row r="10" spans="1:1">
      <c r="A10" t="s">
        <v>896</v>
      </c>
    </row>
    <row r="11" spans="1:1">
      <c r="A11" t="s">
        <v>893</v>
      </c>
    </row>
    <row r="12" spans="1:1">
      <c r="A12" t="s">
        <v>894</v>
      </c>
    </row>
    <row r="13" spans="1:1">
      <c r="A13" t="s">
        <v>897</v>
      </c>
    </row>
  </sheetData>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36"/>
  <sheetViews>
    <sheetView view="pageBreakPreview" zoomScaleNormal="100" zoomScaleSheetLayoutView="100" workbookViewId="0">
      <selection activeCell="C14" sqref="C14:H14"/>
    </sheetView>
  </sheetViews>
  <sheetFormatPr defaultColWidth="9" defaultRowHeight="13"/>
  <cols>
    <col min="1" max="1" width="6.6328125" style="43" customWidth="1"/>
    <col min="2" max="2" width="49.6328125" style="170" customWidth="1"/>
    <col min="3" max="3" width="8.6328125" style="48" customWidth="1"/>
    <col min="4" max="4" width="6.6328125" style="48" customWidth="1"/>
    <col min="5" max="5" width="8.6328125" style="48" customWidth="1"/>
    <col min="6" max="6" width="6.6328125" style="48" customWidth="1"/>
    <col min="7" max="7" width="8.6328125" style="48" customWidth="1"/>
    <col min="8" max="8" width="6.6328125" style="48" customWidth="1"/>
    <col min="9" max="9" width="4.6328125" style="228" customWidth="1"/>
    <col min="10" max="10" width="4.08984375" style="257" customWidth="1"/>
    <col min="11" max="11" width="41.90625" style="3" customWidth="1"/>
    <col min="12" max="12" width="2.6328125" style="3" customWidth="1"/>
    <col min="13" max="13" width="86.08984375" style="3" customWidth="1"/>
    <col min="14" max="16384" width="9" style="3"/>
  </cols>
  <sheetData>
    <row r="1" spans="1:23">
      <c r="A1" s="43" t="s">
        <v>0</v>
      </c>
      <c r="C1" s="44"/>
      <c r="D1" s="44"/>
      <c r="E1" s="44"/>
      <c r="F1" s="44"/>
      <c r="G1" s="44"/>
      <c r="H1" s="44"/>
      <c r="K1" s="149" t="s">
        <v>1050</v>
      </c>
    </row>
    <row r="2" spans="1:23" s="45" customFormat="1" ht="27" customHeight="1">
      <c r="A2" s="396" t="s">
        <v>758</v>
      </c>
      <c r="B2" s="397"/>
      <c r="C2" s="397"/>
      <c r="D2" s="397"/>
      <c r="E2" s="397"/>
      <c r="F2" s="397"/>
      <c r="G2" s="397"/>
      <c r="H2" s="398"/>
      <c r="I2" s="229"/>
      <c r="J2" s="90"/>
      <c r="K2" s="273" t="s">
        <v>414</v>
      </c>
      <c r="M2" s="3"/>
      <c r="N2" s="3"/>
      <c r="O2" s="3"/>
      <c r="P2" s="3"/>
      <c r="Q2" s="3"/>
      <c r="R2" s="3"/>
      <c r="S2" s="3"/>
      <c r="T2" s="3"/>
      <c r="U2" s="3"/>
      <c r="V2" s="3"/>
      <c r="W2" s="3"/>
    </row>
    <row r="3" spans="1:23">
      <c r="A3" s="170"/>
      <c r="C3" s="44"/>
      <c r="D3" s="44"/>
      <c r="E3" s="44"/>
      <c r="F3" s="44"/>
      <c r="G3" s="44"/>
      <c r="H3" s="44"/>
      <c r="K3" s="273"/>
    </row>
    <row r="4" spans="1:23">
      <c r="A4" s="166" t="s">
        <v>783</v>
      </c>
      <c r="C4" s="44"/>
      <c r="D4" s="44"/>
      <c r="E4" s="44"/>
      <c r="F4" s="44"/>
      <c r="G4" s="44"/>
      <c r="H4" s="44"/>
      <c r="K4" s="273"/>
    </row>
    <row r="5" spans="1:23" ht="14">
      <c r="A5" s="109" t="s">
        <v>776</v>
      </c>
      <c r="C5" s="44"/>
      <c r="D5" s="44"/>
      <c r="E5" s="44"/>
      <c r="F5" s="44"/>
      <c r="G5" s="44"/>
      <c r="H5" s="44"/>
      <c r="K5" s="273"/>
      <c r="M5" s="46" t="s">
        <v>434</v>
      </c>
    </row>
    <row r="6" spans="1:23" ht="14">
      <c r="A6" s="416" t="s">
        <v>822</v>
      </c>
      <c r="B6" s="416"/>
      <c r="C6" s="416"/>
      <c r="D6" s="416"/>
      <c r="E6" s="416"/>
      <c r="F6" s="416"/>
      <c r="G6" s="416"/>
      <c r="H6" s="416"/>
      <c r="I6" s="416"/>
      <c r="J6" s="416"/>
      <c r="K6" s="416"/>
      <c r="N6" s="47"/>
      <c r="O6" s="47"/>
      <c r="P6" s="47"/>
      <c r="Q6" s="47"/>
      <c r="R6" s="47"/>
      <c r="S6" s="47"/>
      <c r="T6" s="47"/>
      <c r="U6" s="47"/>
      <c r="V6" s="47"/>
      <c r="W6" s="47"/>
    </row>
    <row r="7" spans="1:23" ht="14.5" thickBot="1">
      <c r="C7" s="44"/>
      <c r="D7" s="44"/>
      <c r="E7" s="44"/>
      <c r="F7" s="44"/>
      <c r="G7" s="44"/>
      <c r="H7" s="44"/>
      <c r="N7" s="47"/>
      <c r="O7" s="47"/>
      <c r="P7" s="47"/>
      <c r="Q7" s="47"/>
      <c r="R7" s="47"/>
      <c r="S7" s="47"/>
      <c r="T7" s="47"/>
      <c r="U7" s="47"/>
      <c r="V7" s="47"/>
      <c r="W7" s="47"/>
    </row>
    <row r="8" spans="1:23" ht="14.5" thickBot="1">
      <c r="C8" s="445"/>
      <c r="D8" s="446"/>
      <c r="E8" s="446"/>
      <c r="F8" s="446"/>
      <c r="G8" s="446"/>
      <c r="H8" s="447"/>
      <c r="I8" s="214" t="s">
        <v>519</v>
      </c>
      <c r="N8" s="47"/>
      <c r="O8" s="47"/>
      <c r="P8" s="47"/>
      <c r="Q8" s="47"/>
      <c r="R8" s="47"/>
      <c r="S8" s="47"/>
      <c r="T8" s="47"/>
      <c r="U8" s="47"/>
      <c r="V8" s="47"/>
      <c r="W8" s="47"/>
    </row>
    <row r="9" spans="1:23" ht="14.5" thickBot="1">
      <c r="C9" s="448"/>
      <c r="D9" s="449"/>
      <c r="E9" s="449"/>
      <c r="F9" s="449"/>
      <c r="G9" s="449"/>
      <c r="H9" s="450"/>
      <c r="I9" s="251" t="s">
        <v>943</v>
      </c>
      <c r="N9" s="47"/>
      <c r="O9" s="47"/>
      <c r="P9" s="47"/>
      <c r="Q9" s="47"/>
      <c r="R9" s="47"/>
      <c r="S9" s="47"/>
      <c r="T9" s="47"/>
      <c r="U9" s="47"/>
      <c r="V9" s="47"/>
      <c r="W9" s="47"/>
    </row>
    <row r="10" spans="1:23" ht="14.5" thickBot="1">
      <c r="C10" s="451"/>
      <c r="D10" s="452"/>
      <c r="E10" s="452"/>
      <c r="F10" s="452"/>
      <c r="G10" s="452"/>
      <c r="H10" s="453"/>
      <c r="I10" s="227" t="s">
        <v>882</v>
      </c>
      <c r="N10" s="47"/>
      <c r="O10" s="47"/>
      <c r="P10" s="47"/>
      <c r="Q10" s="47"/>
      <c r="R10" s="47"/>
      <c r="S10" s="47"/>
      <c r="T10" s="47"/>
      <c r="U10" s="47"/>
      <c r="V10" s="47"/>
      <c r="W10" s="47"/>
    </row>
    <row r="11" spans="1:23" ht="20.149999999999999" customHeight="1">
      <c r="C11" s="281"/>
      <c r="D11" s="281"/>
      <c r="E11" s="281"/>
      <c r="F11" s="281"/>
      <c r="G11" s="195"/>
      <c r="H11" s="195"/>
      <c r="I11" s="230"/>
    </row>
    <row r="12" spans="1:23" s="47" customFormat="1" ht="30" customHeight="1">
      <c r="A12" s="107" t="s">
        <v>153</v>
      </c>
      <c r="B12" s="76" t="s">
        <v>405</v>
      </c>
      <c r="C12" s="399" t="s">
        <v>406</v>
      </c>
      <c r="D12" s="400"/>
      <c r="E12" s="400"/>
      <c r="F12" s="400"/>
      <c r="G12" s="400"/>
      <c r="H12" s="401"/>
      <c r="I12" s="300" t="s">
        <v>541</v>
      </c>
      <c r="J12" s="301"/>
      <c r="K12" s="77" t="s">
        <v>540</v>
      </c>
      <c r="M12" s="3"/>
      <c r="N12" s="3"/>
      <c r="O12" s="3"/>
      <c r="P12" s="3"/>
      <c r="Q12" s="3"/>
      <c r="R12" s="3"/>
      <c r="S12" s="3"/>
      <c r="T12" s="3"/>
      <c r="U12" s="3"/>
      <c r="V12" s="3"/>
      <c r="W12" s="3"/>
    </row>
    <row r="13" spans="1:23" ht="53.25" customHeight="1" thickBot="1">
      <c r="A13" s="380" t="s">
        <v>870</v>
      </c>
      <c r="B13" s="381"/>
      <c r="C13" s="381"/>
      <c r="D13" s="381"/>
      <c r="E13" s="381"/>
      <c r="F13" s="381"/>
      <c r="G13" s="381"/>
      <c r="H13" s="381"/>
      <c r="I13" s="381"/>
      <c r="J13" s="381"/>
      <c r="K13" s="382"/>
    </row>
    <row r="14" spans="1:23" ht="13.5" thickBot="1">
      <c r="A14" s="49" t="s">
        <v>159</v>
      </c>
      <c r="B14" s="50" t="s">
        <v>1</v>
      </c>
      <c r="C14" s="402" t="s">
        <v>1051</v>
      </c>
      <c r="D14" s="403"/>
      <c r="E14" s="403"/>
      <c r="F14" s="403"/>
      <c r="G14" s="403"/>
      <c r="H14" s="404"/>
      <c r="I14" s="231" t="s">
        <v>876</v>
      </c>
      <c r="J14" s="91" t="str">
        <f>IF(データ抽出!F14="","",データ抽出!F14)</f>
        <v/>
      </c>
      <c r="K14" s="51" t="s">
        <v>871</v>
      </c>
    </row>
    <row r="15" spans="1:23" ht="13.5" thickBot="1">
      <c r="A15" s="52" t="s">
        <v>160</v>
      </c>
      <c r="B15" s="53" t="s">
        <v>2</v>
      </c>
      <c r="C15" s="405" t="s">
        <v>480</v>
      </c>
      <c r="D15" s="405"/>
      <c r="E15" s="406"/>
      <c r="F15" s="345" t="s">
        <v>947</v>
      </c>
      <c r="G15" s="346"/>
      <c r="H15" s="347"/>
      <c r="I15" s="232" t="s">
        <v>876</v>
      </c>
      <c r="J15" s="92" t="str">
        <f>IF(データ抽出!F15="","",データ抽出!F15)</f>
        <v/>
      </c>
      <c r="K15" s="54" t="s">
        <v>778</v>
      </c>
      <c r="M15" s="55"/>
    </row>
    <row r="16" spans="1:23" ht="30" customHeight="1">
      <c r="A16" s="52" t="s">
        <v>482</v>
      </c>
      <c r="B16" s="53" t="s">
        <v>815</v>
      </c>
      <c r="C16" s="407" t="s">
        <v>813</v>
      </c>
      <c r="D16" s="408"/>
      <c r="E16" s="408"/>
      <c r="F16" s="408"/>
      <c r="G16" s="408"/>
      <c r="H16" s="409"/>
      <c r="I16" s="233" t="s">
        <v>876</v>
      </c>
      <c r="J16" s="92" t="str">
        <f>IF(データ抽出!F16="","",データ抽出!F16)</f>
        <v/>
      </c>
      <c r="K16" s="56" t="s">
        <v>527</v>
      </c>
    </row>
    <row r="17" spans="1:13" ht="40.5" customHeight="1">
      <c r="A17" s="196" t="str">
        <f>IF(C16="","1-4",IF(LEFT(C16,8)="クラウド区画分譲","1-4",""))</f>
        <v/>
      </c>
      <c r="B17" s="169" t="str">
        <f>IF(C16="","1-3項が「クラウド区画分譲オプションサービス」　※１
（Liteタイプ、20年アフターパック含む）の場合の、
統合先出力制御ユニット・監視装置　製造番号",IF(LEFT(C16,8)="クラウド区画分譲","1-3項が「クラウド区画分譲オプションサービス」　※１
（Liteタイプ、20年アフターパック含む）の場合の、
統合先出力制御ユニット・監視装置　製造番号",""))</f>
        <v/>
      </c>
      <c r="C17" s="282"/>
      <c r="D17" s="283"/>
      <c r="E17" s="283"/>
      <c r="F17" s="283"/>
      <c r="G17" s="283"/>
      <c r="H17" s="284"/>
      <c r="I17" s="233" t="str">
        <f>データ抽出!E17</f>
        <v/>
      </c>
      <c r="J17" s="92" t="str">
        <f>IF(データ抽出!F17="","",データ抽出!F17)</f>
        <v/>
      </c>
      <c r="K17" s="68" t="str">
        <f>IF(C16="","例）PA-S-000002　（半角英数字）",IF(LEFT(C16,8)="クラウド区画分譲","例）PA-S-000002　（半角英数字）",""))</f>
        <v/>
      </c>
      <c r="M17" s="55"/>
    </row>
    <row r="18" spans="1:13" ht="15" customHeight="1" thickBot="1">
      <c r="A18" s="57" t="s">
        <v>436</v>
      </c>
      <c r="B18" s="66" t="s">
        <v>486</v>
      </c>
      <c r="C18" s="410" t="s">
        <v>779</v>
      </c>
      <c r="D18" s="411"/>
      <c r="E18" s="411"/>
      <c r="F18" s="411"/>
      <c r="G18" s="411"/>
      <c r="H18" s="412"/>
      <c r="I18" s="234" t="s">
        <v>876</v>
      </c>
      <c r="J18" s="103"/>
      <c r="K18" s="78" t="s">
        <v>527</v>
      </c>
    </row>
    <row r="19" spans="1:13" ht="120" customHeight="1">
      <c r="A19" s="108" t="s">
        <v>438</v>
      </c>
      <c r="B19" s="274" t="s">
        <v>890</v>
      </c>
      <c r="C19" s="275"/>
      <c r="D19" s="275"/>
      <c r="E19" s="275"/>
      <c r="F19" s="275"/>
      <c r="G19" s="275"/>
      <c r="H19" s="275"/>
      <c r="I19" s="276"/>
      <c r="J19" s="276"/>
      <c r="K19" s="277"/>
    </row>
    <row r="20" spans="1:13" ht="51" customHeight="1" thickBot="1">
      <c r="A20" s="305" t="s">
        <v>942</v>
      </c>
      <c r="B20" s="332"/>
      <c r="C20" s="332"/>
      <c r="D20" s="332"/>
      <c r="E20" s="332"/>
      <c r="F20" s="332"/>
      <c r="G20" s="332"/>
      <c r="H20" s="332"/>
      <c r="I20" s="332"/>
      <c r="J20" s="332"/>
      <c r="K20" s="335"/>
    </row>
    <row r="21" spans="1:13">
      <c r="A21" s="252" t="str">
        <f>IF(C18="","2-1",IF(C18="SIMカード方式","2-1",""))</f>
        <v>2-1</v>
      </c>
      <c r="B21" s="50" t="str">
        <f>IF(C18="","通信用SIMカード　お届け希望日　※２",IF(C18="SIMカード方式","通信用SIMカード　お届け希望日　※２",""))</f>
        <v>通信用SIMカード　お届け希望日　※２</v>
      </c>
      <c r="C21" s="413">
        <v>43656</v>
      </c>
      <c r="D21" s="414"/>
      <c r="E21" s="414"/>
      <c r="F21" s="414"/>
      <c r="G21" s="414"/>
      <c r="H21" s="415"/>
      <c r="I21" s="235" t="s">
        <v>876</v>
      </c>
      <c r="J21" s="94" t="str">
        <f>IF(データ抽出!F21="","",データ抽出!F21)</f>
        <v/>
      </c>
      <c r="K21" s="58" t="str">
        <f>IF(C18="","1-5項が「LAN接続方式」の場合は不要",IF(C18="SIMカード方式","1-5項が「LAN接続方式」の場合は不要",""))</f>
        <v>1-5項が「LAN接続方式」の場合は不要</v>
      </c>
    </row>
    <row r="22" spans="1:13" ht="13.5" thickBot="1">
      <c r="A22" s="52" t="s">
        <v>164</v>
      </c>
      <c r="B22" s="53" t="s">
        <v>413</v>
      </c>
      <c r="C22" s="387">
        <v>43656</v>
      </c>
      <c r="D22" s="388"/>
      <c r="E22" s="388"/>
      <c r="F22" s="388"/>
      <c r="G22" s="388"/>
      <c r="H22" s="389"/>
      <c r="I22" s="236" t="s">
        <v>876</v>
      </c>
      <c r="J22" s="92" t="str">
        <f>IF(データ抽出!F22="","",データ抽出!F22)</f>
        <v/>
      </c>
      <c r="K22" s="56"/>
    </row>
    <row r="23" spans="1:13" ht="15" customHeight="1">
      <c r="A23" s="57" t="s">
        <v>437</v>
      </c>
      <c r="B23" s="59" t="s">
        <v>419</v>
      </c>
      <c r="C23" s="390" t="str">
        <f>データ抽出!C23</f>
        <v/>
      </c>
      <c r="D23" s="391"/>
      <c r="E23" s="391"/>
      <c r="F23" s="391"/>
      <c r="G23" s="391"/>
      <c r="H23" s="392"/>
      <c r="I23" s="237"/>
      <c r="J23" s="103"/>
      <c r="K23" s="60" t="s">
        <v>885</v>
      </c>
    </row>
    <row r="24" spans="1:13" ht="50.15" customHeight="1">
      <c r="A24" s="310" t="s">
        <v>438</v>
      </c>
      <c r="B24" s="278" t="s">
        <v>775</v>
      </c>
      <c r="C24" s="279"/>
      <c r="D24" s="279"/>
      <c r="E24" s="279"/>
      <c r="F24" s="279"/>
      <c r="G24" s="279"/>
      <c r="H24" s="279"/>
      <c r="I24" s="279"/>
      <c r="J24" s="279"/>
      <c r="K24" s="280"/>
    </row>
    <row r="25" spans="1:13" ht="35.15" customHeight="1">
      <c r="A25" s="311"/>
      <c r="B25" s="386" t="s">
        <v>755</v>
      </c>
      <c r="C25" s="303"/>
      <c r="D25" s="303"/>
      <c r="E25" s="303"/>
      <c r="F25" s="303"/>
      <c r="G25" s="303"/>
      <c r="H25" s="303"/>
      <c r="I25" s="303"/>
      <c r="J25" s="303"/>
      <c r="K25" s="304"/>
    </row>
    <row r="26" spans="1:13" ht="35.15" customHeight="1">
      <c r="A26" s="312"/>
      <c r="B26" s="308" t="s">
        <v>756</v>
      </c>
      <c r="C26" s="275"/>
      <c r="D26" s="275"/>
      <c r="E26" s="275"/>
      <c r="F26" s="275"/>
      <c r="G26" s="275"/>
      <c r="H26" s="275"/>
      <c r="I26" s="275"/>
      <c r="J26" s="275"/>
      <c r="K26" s="309"/>
    </row>
    <row r="27" spans="1:13" ht="68.25" customHeight="1" thickBot="1">
      <c r="A27" s="383" t="s">
        <v>792</v>
      </c>
      <c r="B27" s="384"/>
      <c r="C27" s="384"/>
      <c r="D27" s="384"/>
      <c r="E27" s="384"/>
      <c r="F27" s="384"/>
      <c r="G27" s="384"/>
      <c r="H27" s="384"/>
      <c r="I27" s="384"/>
      <c r="J27" s="384"/>
      <c r="K27" s="385"/>
    </row>
    <row r="28" spans="1:13">
      <c r="A28" s="49" t="s">
        <v>165</v>
      </c>
      <c r="B28" s="50" t="s">
        <v>3</v>
      </c>
      <c r="C28" s="393" t="s">
        <v>948</v>
      </c>
      <c r="D28" s="394"/>
      <c r="E28" s="394"/>
      <c r="F28" s="394"/>
      <c r="G28" s="394"/>
      <c r="H28" s="395"/>
      <c r="I28" s="238" t="s">
        <v>876</v>
      </c>
      <c r="J28" s="91" t="str">
        <f>IF(データ抽出!F28="","",データ抽出!F28)</f>
        <v/>
      </c>
      <c r="K28" s="110" t="s">
        <v>520</v>
      </c>
    </row>
    <row r="29" spans="1:13">
      <c r="A29" s="52" t="s">
        <v>166</v>
      </c>
      <c r="B29" s="53" t="s">
        <v>4</v>
      </c>
      <c r="C29" s="327" t="s">
        <v>949</v>
      </c>
      <c r="D29" s="328"/>
      <c r="E29" s="328"/>
      <c r="F29" s="328"/>
      <c r="G29" s="328"/>
      <c r="H29" s="329"/>
      <c r="I29" s="239" t="s">
        <v>876</v>
      </c>
      <c r="J29" s="92" t="str">
        <f>IF(データ抽出!F29="","",データ抽出!F29)</f>
        <v/>
      </c>
      <c r="K29" s="63" t="s">
        <v>521</v>
      </c>
    </row>
    <row r="30" spans="1:13">
      <c r="A30" s="52" t="s">
        <v>167</v>
      </c>
      <c r="B30" s="53" t="s">
        <v>5</v>
      </c>
      <c r="C30" s="327" t="s">
        <v>950</v>
      </c>
      <c r="D30" s="328"/>
      <c r="E30" s="328"/>
      <c r="F30" s="328"/>
      <c r="G30" s="328"/>
      <c r="H30" s="329"/>
      <c r="I30" s="240" t="s">
        <v>876</v>
      </c>
      <c r="J30" s="92" t="str">
        <f>IF(データ抽出!F30="","",データ抽出!F30)</f>
        <v/>
      </c>
      <c r="K30" s="63" t="s">
        <v>522</v>
      </c>
    </row>
    <row r="31" spans="1:13">
      <c r="A31" s="52" t="s">
        <v>168</v>
      </c>
      <c r="B31" s="53" t="s">
        <v>407</v>
      </c>
      <c r="C31" s="327" t="s">
        <v>951</v>
      </c>
      <c r="D31" s="328"/>
      <c r="E31" s="328"/>
      <c r="F31" s="328"/>
      <c r="G31" s="328"/>
      <c r="H31" s="329"/>
      <c r="I31" s="240" t="s">
        <v>876</v>
      </c>
      <c r="J31" s="92" t="str">
        <f>IF(データ抽出!F31="","",データ抽出!F31)</f>
        <v/>
      </c>
      <c r="K31" s="63"/>
    </row>
    <row r="32" spans="1:13">
      <c r="A32" s="52" t="s">
        <v>169</v>
      </c>
      <c r="B32" s="53" t="s">
        <v>7</v>
      </c>
      <c r="C32" s="327" t="s">
        <v>702</v>
      </c>
      <c r="D32" s="328"/>
      <c r="E32" s="328"/>
      <c r="F32" s="328"/>
      <c r="G32" s="328"/>
      <c r="H32" s="329"/>
      <c r="I32" s="240" t="s">
        <v>876</v>
      </c>
      <c r="J32" s="92" t="str">
        <f>IF(データ抽出!F32="","",データ抽出!F32)</f>
        <v/>
      </c>
      <c r="K32" s="63" t="s">
        <v>527</v>
      </c>
    </row>
    <row r="33" spans="1:13">
      <c r="A33" s="52" t="s">
        <v>170</v>
      </c>
      <c r="B33" s="53" t="s">
        <v>8</v>
      </c>
      <c r="C33" s="456" t="s">
        <v>952</v>
      </c>
      <c r="D33" s="457"/>
      <c r="E33" s="457"/>
      <c r="F33" s="457"/>
      <c r="G33" s="457"/>
      <c r="H33" s="458"/>
      <c r="I33" s="240" t="s">
        <v>876</v>
      </c>
      <c r="J33" s="92" t="str">
        <f>IF(データ抽出!F33="","",データ抽出!F33)</f>
        <v/>
      </c>
      <c r="K33" s="63" t="s">
        <v>532</v>
      </c>
    </row>
    <row r="34" spans="1:13">
      <c r="A34" s="52" t="s">
        <v>171</v>
      </c>
      <c r="B34" s="53" t="s">
        <v>9</v>
      </c>
      <c r="C34" s="456" t="s">
        <v>953</v>
      </c>
      <c r="D34" s="457"/>
      <c r="E34" s="457"/>
      <c r="F34" s="457"/>
      <c r="G34" s="457"/>
      <c r="H34" s="458"/>
      <c r="I34" s="240" t="s">
        <v>876</v>
      </c>
      <c r="J34" s="92" t="str">
        <f>IF(データ抽出!F34="","",データ抽出!F34)</f>
        <v/>
      </c>
      <c r="K34" s="63" t="s">
        <v>533</v>
      </c>
    </row>
    <row r="35" spans="1:13">
      <c r="A35" s="52" t="s">
        <v>172</v>
      </c>
      <c r="B35" s="53" t="s">
        <v>487</v>
      </c>
      <c r="C35" s="297" t="s">
        <v>954</v>
      </c>
      <c r="D35" s="298"/>
      <c r="E35" s="298"/>
      <c r="F35" s="298" t="s">
        <v>955</v>
      </c>
      <c r="G35" s="298"/>
      <c r="H35" s="299"/>
      <c r="I35" s="240" t="s">
        <v>876</v>
      </c>
      <c r="J35" s="92" t="str">
        <f>IF(データ抽出!F35="","",データ抽出!F35)</f>
        <v/>
      </c>
      <c r="K35" s="63" t="s">
        <v>529</v>
      </c>
    </row>
    <row r="36" spans="1:13">
      <c r="A36" s="52" t="s">
        <v>173</v>
      </c>
      <c r="B36" s="53" t="s">
        <v>11</v>
      </c>
      <c r="C36" s="297" t="s">
        <v>956</v>
      </c>
      <c r="D36" s="298"/>
      <c r="E36" s="298"/>
      <c r="F36" s="298" t="s">
        <v>957</v>
      </c>
      <c r="G36" s="298"/>
      <c r="H36" s="299"/>
      <c r="I36" s="240" t="s">
        <v>876</v>
      </c>
      <c r="J36" s="92" t="str">
        <f>IF(データ抽出!F36="","",データ抽出!F36)</f>
        <v/>
      </c>
      <c r="K36" s="63" t="s">
        <v>530</v>
      </c>
    </row>
    <row r="37" spans="1:13" ht="13.5" thickBot="1">
      <c r="A37" s="74" t="s">
        <v>174</v>
      </c>
      <c r="B37" s="75" t="s">
        <v>12</v>
      </c>
      <c r="C37" s="417" t="s">
        <v>958</v>
      </c>
      <c r="D37" s="418"/>
      <c r="E37" s="418"/>
      <c r="F37" s="418"/>
      <c r="G37" s="418"/>
      <c r="H37" s="419"/>
      <c r="I37" s="241" t="s">
        <v>876</v>
      </c>
      <c r="J37" s="104" t="str">
        <f>IF(データ抽出!F37="","",データ抽出!F37)</f>
        <v/>
      </c>
      <c r="K37" s="111"/>
    </row>
    <row r="38" spans="1:13" ht="20.149999999999999" customHeight="1" thickBot="1">
      <c r="A38" s="330" t="s">
        <v>483</v>
      </c>
      <c r="B38" s="331"/>
      <c r="C38" s="379"/>
      <c r="D38" s="379"/>
      <c r="E38" s="379"/>
      <c r="F38" s="379"/>
      <c r="G38" s="379"/>
      <c r="H38" s="379"/>
      <c r="I38" s="331"/>
      <c r="J38" s="331"/>
      <c r="K38" s="333"/>
    </row>
    <row r="39" spans="1:13">
      <c r="A39" s="72" t="s">
        <v>690</v>
      </c>
      <c r="B39" s="67" t="s">
        <v>688</v>
      </c>
      <c r="C39" s="420" t="s">
        <v>703</v>
      </c>
      <c r="D39" s="421"/>
      <c r="E39" s="421"/>
      <c r="F39" s="421"/>
      <c r="G39" s="421"/>
      <c r="H39" s="422"/>
      <c r="I39" s="242" t="s">
        <v>876</v>
      </c>
      <c r="J39" s="105" t="str">
        <f>IF(データ抽出!F39="","",データ抽出!F39)</f>
        <v/>
      </c>
      <c r="K39" s="80" t="s">
        <v>527</v>
      </c>
    </row>
    <row r="40" spans="1:13">
      <c r="A40" s="197" t="str">
        <f>IF(C39="同じ","","4-1")</f>
        <v>4-1</v>
      </c>
      <c r="B40" s="67" t="str">
        <f>IF(C39="同じ","","郵便番号")</f>
        <v>郵便番号</v>
      </c>
      <c r="C40" s="327" t="s">
        <v>959</v>
      </c>
      <c r="D40" s="328"/>
      <c r="E40" s="328"/>
      <c r="F40" s="328"/>
      <c r="G40" s="328"/>
      <c r="H40" s="329"/>
      <c r="I40" s="239" t="s">
        <v>876</v>
      </c>
      <c r="J40" s="105" t="str">
        <f>IF(データ抽出!F40="","",データ抽出!F40)</f>
        <v/>
      </c>
      <c r="K40" s="80" t="str">
        <f>IF(C39="同じ","","ハイフン(－)なしの7桁の数字")</f>
        <v>ハイフン(－)なしの7桁の数字</v>
      </c>
    </row>
    <row r="41" spans="1:13">
      <c r="A41" s="197" t="str">
        <f>IF(C39="同じ","","4-2")</f>
        <v>4-2</v>
      </c>
      <c r="B41" s="53" t="str">
        <f>IF(C39="同じ","","電話番号")</f>
        <v>電話番号</v>
      </c>
      <c r="C41" s="327" t="s">
        <v>960</v>
      </c>
      <c r="D41" s="328"/>
      <c r="E41" s="328"/>
      <c r="F41" s="328"/>
      <c r="G41" s="328"/>
      <c r="H41" s="329"/>
      <c r="I41" s="239" t="s">
        <v>876</v>
      </c>
      <c r="J41" s="92" t="str">
        <f>IF(データ抽出!F41="","",データ抽出!F41)</f>
        <v/>
      </c>
      <c r="K41" s="63" t="str">
        <f>IF(C39="同じ","","ハイフン(－)なしの10桁または11桁の数字")</f>
        <v>ハイフン(－)なしの10桁または11桁の数字</v>
      </c>
    </row>
    <row r="42" spans="1:13" ht="13.5" customHeight="1">
      <c r="A42" s="197" t="str">
        <f>IF(C39="同じ","","4-3")</f>
        <v>4-3</v>
      </c>
      <c r="B42" s="53" t="str">
        <f>IF(C39="同じ","","住所フリガナ")</f>
        <v>住所フリガナ</v>
      </c>
      <c r="C42" s="327" t="s">
        <v>961</v>
      </c>
      <c r="D42" s="328"/>
      <c r="E42" s="328"/>
      <c r="F42" s="328"/>
      <c r="G42" s="328"/>
      <c r="H42" s="329"/>
      <c r="I42" s="240" t="s">
        <v>876</v>
      </c>
      <c r="J42" s="92" t="str">
        <f>IF(データ抽出!F42="","",データ抽出!F42)</f>
        <v/>
      </c>
      <c r="K42" s="63" t="str">
        <f>IF(C39="同じ","","全角カナ入力")</f>
        <v>全角カナ入力</v>
      </c>
    </row>
    <row r="43" spans="1:13" ht="13.5" customHeight="1">
      <c r="A43" s="197" t="str">
        <f>IF(C39="同じ","","4-4")</f>
        <v>4-4</v>
      </c>
      <c r="B43" s="53" t="str">
        <f>IF(C39="同じ","","住所")</f>
        <v>住所</v>
      </c>
      <c r="C43" s="327" t="s">
        <v>962</v>
      </c>
      <c r="D43" s="328"/>
      <c r="E43" s="328"/>
      <c r="F43" s="328"/>
      <c r="G43" s="328"/>
      <c r="H43" s="329"/>
      <c r="I43" s="240" t="s">
        <v>876</v>
      </c>
      <c r="J43" s="92" t="str">
        <f>IF(データ抽出!F43="","",データ抽出!F43)</f>
        <v/>
      </c>
      <c r="K43" s="63"/>
    </row>
    <row r="44" spans="1:13" ht="13.5" customHeight="1">
      <c r="A44" s="197" t="str">
        <f>IF(C39="同じ","","4-5")</f>
        <v>4-5</v>
      </c>
      <c r="B44" s="53" t="str">
        <f>IF(C39="同じ","","個人・法人")</f>
        <v>個人・法人</v>
      </c>
      <c r="C44" s="327" t="s">
        <v>702</v>
      </c>
      <c r="D44" s="328"/>
      <c r="E44" s="328"/>
      <c r="F44" s="328"/>
      <c r="G44" s="328"/>
      <c r="H44" s="329"/>
      <c r="I44" s="240" t="s">
        <v>876</v>
      </c>
      <c r="J44" s="92" t="str">
        <f>IF(データ抽出!F44="","",データ抽出!F44)</f>
        <v/>
      </c>
      <c r="K44" s="63" t="str">
        <f>IF(C39="同じ","","リストより選択")</f>
        <v>リストより選択</v>
      </c>
    </row>
    <row r="45" spans="1:13" ht="13.5" customHeight="1">
      <c r="A45" s="197" t="str">
        <f>IF(C39="同じ","","4-6")</f>
        <v>4-6</v>
      </c>
      <c r="B45" s="53" t="str">
        <f>IF(C39="同じ","","会社名及び部署名フリガナ")</f>
        <v>会社名及び部署名フリガナ</v>
      </c>
      <c r="C45" s="327" t="s">
        <v>963</v>
      </c>
      <c r="D45" s="328"/>
      <c r="E45" s="328"/>
      <c r="F45" s="328"/>
      <c r="G45" s="328"/>
      <c r="H45" s="329"/>
      <c r="I45" s="240" t="s">
        <v>876</v>
      </c>
      <c r="J45" s="92" t="str">
        <f>IF(データ抽出!F45="","",データ抽出!F45)</f>
        <v/>
      </c>
      <c r="K45" s="63" t="str">
        <f>IF(C39="同じ","","法人の場合は必須　全角カナ入力")</f>
        <v>法人の場合は必須　全角カナ入力</v>
      </c>
    </row>
    <row r="46" spans="1:13" ht="13.5" customHeight="1">
      <c r="A46" s="197" t="str">
        <f>IF(C39="同じ","","4-7")</f>
        <v>4-7</v>
      </c>
      <c r="B46" s="53" t="str">
        <f>IF(C39="同じ","","会社名及び部署名")</f>
        <v>会社名及び部署名</v>
      </c>
      <c r="C46" s="327" t="s">
        <v>964</v>
      </c>
      <c r="D46" s="328"/>
      <c r="E46" s="328"/>
      <c r="F46" s="328"/>
      <c r="G46" s="328"/>
      <c r="H46" s="329"/>
      <c r="I46" s="240" t="s">
        <v>876</v>
      </c>
      <c r="J46" s="92" t="str">
        <f>IF(データ抽出!F46="","",データ抽出!F46)</f>
        <v/>
      </c>
      <c r="K46" s="63" t="str">
        <f>IF(C39="同じ","","法人の場合は必須")</f>
        <v>法人の場合は必須</v>
      </c>
      <c r="M46" s="61" t="s">
        <v>435</v>
      </c>
    </row>
    <row r="47" spans="1:13" ht="13.5" customHeight="1">
      <c r="A47" s="197" t="str">
        <f>IF(C39="同じ","","4-8")</f>
        <v>4-8</v>
      </c>
      <c r="B47" s="53" t="str">
        <f>IF(C39="同じ","","ご担当者様名フリガナ")</f>
        <v>ご担当者様名フリガナ</v>
      </c>
      <c r="C47" s="297" t="s">
        <v>965</v>
      </c>
      <c r="D47" s="298"/>
      <c r="E47" s="298"/>
      <c r="F47" s="298" t="s">
        <v>966</v>
      </c>
      <c r="G47" s="298"/>
      <c r="H47" s="299"/>
      <c r="I47" s="240" t="s">
        <v>876</v>
      </c>
      <c r="J47" s="92" t="str">
        <f>IF(データ抽出!F47="","",データ抽出!F47)</f>
        <v/>
      </c>
      <c r="K47" s="63" t="str">
        <f>IF(C39="同じ","","氏／名を分けて入力　全角カナ入力")</f>
        <v>氏／名を分けて入力　全角カナ入力</v>
      </c>
    </row>
    <row r="48" spans="1:13" ht="13.5" customHeight="1">
      <c r="A48" s="197" t="str">
        <f>IF(C39="同じ","","4-9")</f>
        <v>4-9</v>
      </c>
      <c r="B48" s="53" t="str">
        <f>IF(C39="同じ","","ご担当者様名")</f>
        <v>ご担当者様名</v>
      </c>
      <c r="C48" s="297" t="s">
        <v>967</v>
      </c>
      <c r="D48" s="298"/>
      <c r="E48" s="298"/>
      <c r="F48" s="298" t="s">
        <v>968</v>
      </c>
      <c r="G48" s="298"/>
      <c r="H48" s="299"/>
      <c r="I48" s="240" t="s">
        <v>876</v>
      </c>
      <c r="J48" s="92" t="str">
        <f>IF(データ抽出!F48="","",データ抽出!F48)</f>
        <v/>
      </c>
      <c r="K48" s="63" t="str">
        <f>IF(C39="同じ","","氏／名を分けて入力")</f>
        <v>氏／名を分けて入力</v>
      </c>
    </row>
    <row r="49" spans="1:11" ht="14.25" customHeight="1" thickBot="1">
      <c r="A49" s="209" t="str">
        <f>IF(C39="同じ","","4-10")</f>
        <v>4-10</v>
      </c>
      <c r="B49" s="75" t="str">
        <f>IF(C39="同じ","","メールアドレス")</f>
        <v>メールアドレス</v>
      </c>
      <c r="C49" s="417" t="s">
        <v>969</v>
      </c>
      <c r="D49" s="418"/>
      <c r="E49" s="418"/>
      <c r="F49" s="418"/>
      <c r="G49" s="418"/>
      <c r="H49" s="419"/>
      <c r="I49" s="241" t="s">
        <v>876</v>
      </c>
      <c r="J49" s="104" t="str">
        <f>IF(データ抽出!F49="","",データ抽出!F49)</f>
        <v/>
      </c>
      <c r="K49" s="111"/>
    </row>
    <row r="50" spans="1:11" ht="20.149999999999999" customHeight="1" thickBot="1">
      <c r="A50" s="330" t="s">
        <v>484</v>
      </c>
      <c r="B50" s="331"/>
      <c r="C50" s="379"/>
      <c r="D50" s="379"/>
      <c r="E50" s="379"/>
      <c r="F50" s="379"/>
      <c r="G50" s="379"/>
      <c r="H50" s="379"/>
      <c r="I50" s="331"/>
      <c r="J50" s="331"/>
      <c r="K50" s="333"/>
    </row>
    <row r="51" spans="1:11">
      <c r="A51" s="74" t="s">
        <v>184</v>
      </c>
      <c r="B51" s="75" t="s">
        <v>401</v>
      </c>
      <c r="C51" s="294" t="s">
        <v>704</v>
      </c>
      <c r="D51" s="295"/>
      <c r="E51" s="295"/>
      <c r="F51" s="295"/>
      <c r="G51" s="295"/>
      <c r="H51" s="296"/>
      <c r="I51" s="243" t="s">
        <v>876</v>
      </c>
      <c r="J51" s="105" t="str">
        <f>IF(データ抽出!F51="","",データ抽出!F51)</f>
        <v/>
      </c>
      <c r="K51" s="111" t="s">
        <v>527</v>
      </c>
    </row>
    <row r="52" spans="1:11">
      <c r="A52" s="52" t="s">
        <v>185</v>
      </c>
      <c r="B52" s="53" t="s">
        <v>402</v>
      </c>
      <c r="C52" s="315" t="s">
        <v>970</v>
      </c>
      <c r="D52" s="316"/>
      <c r="E52" s="316"/>
      <c r="F52" s="316"/>
      <c r="G52" s="316"/>
      <c r="H52" s="317"/>
      <c r="I52" s="240" t="s">
        <v>876</v>
      </c>
      <c r="J52" s="92" t="str">
        <f>IF(データ抽出!F52="","",データ抽出!F52)</f>
        <v/>
      </c>
      <c r="K52" s="63" t="s">
        <v>522</v>
      </c>
    </row>
    <row r="53" spans="1:11">
      <c r="A53" s="52" t="s">
        <v>186</v>
      </c>
      <c r="B53" s="53" t="s">
        <v>403</v>
      </c>
      <c r="C53" s="315" t="s">
        <v>971</v>
      </c>
      <c r="D53" s="316"/>
      <c r="E53" s="316"/>
      <c r="F53" s="316"/>
      <c r="G53" s="316"/>
      <c r="H53" s="317"/>
      <c r="I53" s="240" t="s">
        <v>876</v>
      </c>
      <c r="J53" s="92" t="str">
        <f>IF(データ抽出!F53="","",データ抽出!F53)</f>
        <v/>
      </c>
      <c r="K53" s="63"/>
    </row>
    <row r="54" spans="1:11">
      <c r="A54" s="52" t="s">
        <v>187</v>
      </c>
      <c r="B54" s="53" t="s">
        <v>404</v>
      </c>
      <c r="C54" s="345" t="s">
        <v>972</v>
      </c>
      <c r="D54" s="346"/>
      <c r="E54" s="346"/>
      <c r="F54" s="346"/>
      <c r="G54" s="346"/>
      <c r="H54" s="347"/>
      <c r="I54" s="239" t="s">
        <v>876</v>
      </c>
      <c r="J54" s="92" t="str">
        <f>IF(データ抽出!F54="","",データ抽出!F54)</f>
        <v/>
      </c>
      <c r="K54" s="63" t="s">
        <v>521</v>
      </c>
    </row>
    <row r="55" spans="1:11">
      <c r="A55" s="52" t="s">
        <v>188</v>
      </c>
      <c r="B55" s="53" t="s">
        <v>475</v>
      </c>
      <c r="C55" s="345" t="s">
        <v>973</v>
      </c>
      <c r="D55" s="346"/>
      <c r="E55" s="346"/>
      <c r="F55" s="346"/>
      <c r="G55" s="346"/>
      <c r="H55" s="347"/>
      <c r="I55" s="239" t="s">
        <v>876</v>
      </c>
      <c r="J55" s="92" t="str">
        <f>IF(データ抽出!F55="","",データ抽出!F55)</f>
        <v/>
      </c>
      <c r="K55" s="63" t="s">
        <v>520</v>
      </c>
    </row>
    <row r="56" spans="1:11">
      <c r="A56" s="52" t="s">
        <v>189</v>
      </c>
      <c r="B56" s="53" t="s">
        <v>464</v>
      </c>
      <c r="C56" s="315" t="s">
        <v>974</v>
      </c>
      <c r="D56" s="316"/>
      <c r="E56" s="316"/>
      <c r="F56" s="316"/>
      <c r="G56" s="316"/>
      <c r="H56" s="317"/>
      <c r="I56" s="240" t="s">
        <v>876</v>
      </c>
      <c r="J56" s="92" t="str">
        <f>IF(データ抽出!F56="","",データ抽出!F56)</f>
        <v/>
      </c>
      <c r="K56" s="63"/>
    </row>
    <row r="57" spans="1:11">
      <c r="A57" s="52" t="s">
        <v>190</v>
      </c>
      <c r="B57" s="53" t="s">
        <v>466</v>
      </c>
      <c r="C57" s="315" t="s">
        <v>975</v>
      </c>
      <c r="D57" s="316"/>
      <c r="E57" s="316"/>
      <c r="F57" s="316"/>
      <c r="G57" s="316"/>
      <c r="H57" s="317"/>
      <c r="I57" s="240" t="s">
        <v>876</v>
      </c>
      <c r="J57" s="92" t="str">
        <f>IF(データ抽出!F57="","",データ抽出!F57)</f>
        <v/>
      </c>
      <c r="K57" s="63" t="s">
        <v>522</v>
      </c>
    </row>
    <row r="58" spans="1:11">
      <c r="A58" s="52" t="s">
        <v>191</v>
      </c>
      <c r="B58" s="53" t="s">
        <v>468</v>
      </c>
      <c r="C58" s="315" t="s">
        <v>976</v>
      </c>
      <c r="D58" s="316"/>
      <c r="E58" s="316"/>
      <c r="F58" s="316"/>
      <c r="G58" s="316"/>
      <c r="H58" s="317"/>
      <c r="I58" s="240" t="s">
        <v>876</v>
      </c>
      <c r="J58" s="92" t="str">
        <f>IF(データ抽出!F58="","",データ抽出!F58)</f>
        <v/>
      </c>
      <c r="K58" s="63"/>
    </row>
    <row r="59" spans="1:11">
      <c r="A59" s="52" t="s">
        <v>192</v>
      </c>
      <c r="B59" s="53" t="s">
        <v>476</v>
      </c>
      <c r="C59" s="315">
        <v>33.122999999999998</v>
      </c>
      <c r="D59" s="316"/>
      <c r="E59" s="316"/>
      <c r="F59" s="316"/>
      <c r="G59" s="316"/>
      <c r="H59" s="317"/>
      <c r="I59" s="240" t="s">
        <v>876</v>
      </c>
      <c r="J59" s="92" t="str">
        <f>IF(データ抽出!F59="","",データ抽出!F59)</f>
        <v/>
      </c>
      <c r="K59" s="63" t="s">
        <v>523</v>
      </c>
    </row>
    <row r="60" spans="1:11">
      <c r="A60" s="52" t="s">
        <v>193</v>
      </c>
      <c r="B60" s="53" t="s">
        <v>477</v>
      </c>
      <c r="C60" s="315">
        <v>123.456</v>
      </c>
      <c r="D60" s="316"/>
      <c r="E60" s="316"/>
      <c r="F60" s="316"/>
      <c r="G60" s="316"/>
      <c r="H60" s="317"/>
      <c r="I60" s="240" t="s">
        <v>876</v>
      </c>
      <c r="J60" s="92" t="str">
        <f>IF(データ抽出!F60="","",データ抽出!F60)</f>
        <v/>
      </c>
      <c r="K60" s="63" t="s">
        <v>524</v>
      </c>
    </row>
    <row r="61" spans="1:11">
      <c r="A61" s="52" t="s">
        <v>194</v>
      </c>
      <c r="B61" s="53" t="s">
        <v>440</v>
      </c>
      <c r="C61" s="315" t="s">
        <v>705</v>
      </c>
      <c r="D61" s="316"/>
      <c r="E61" s="316"/>
      <c r="F61" s="316"/>
      <c r="G61" s="316"/>
      <c r="H61" s="317"/>
      <c r="I61" s="240" t="s">
        <v>876</v>
      </c>
      <c r="J61" s="92" t="str">
        <f>IF(データ抽出!F61="","",データ抽出!F61)</f>
        <v/>
      </c>
      <c r="K61" s="63" t="s">
        <v>527</v>
      </c>
    </row>
    <row r="62" spans="1:11">
      <c r="A62" s="52" t="s">
        <v>195</v>
      </c>
      <c r="B62" s="53" t="s">
        <v>415</v>
      </c>
      <c r="C62" s="315" t="s">
        <v>977</v>
      </c>
      <c r="D62" s="316"/>
      <c r="E62" s="316"/>
      <c r="F62" s="316"/>
      <c r="G62" s="316"/>
      <c r="H62" s="317"/>
      <c r="I62" s="240" t="s">
        <v>876</v>
      </c>
      <c r="J62" s="92" t="str">
        <f>IF(データ抽出!F62="","",データ抽出!F62)</f>
        <v/>
      </c>
      <c r="K62" s="63" t="s">
        <v>479</v>
      </c>
    </row>
    <row r="63" spans="1:11">
      <c r="A63" s="52" t="s">
        <v>196</v>
      </c>
      <c r="B63" s="53" t="s">
        <v>418</v>
      </c>
      <c r="C63" s="315" t="s">
        <v>706</v>
      </c>
      <c r="D63" s="316"/>
      <c r="E63" s="316"/>
      <c r="F63" s="316"/>
      <c r="G63" s="316"/>
      <c r="H63" s="317"/>
      <c r="I63" s="240" t="s">
        <v>876</v>
      </c>
      <c r="J63" s="92" t="str">
        <f>IF(データ抽出!F63="","",データ抽出!F63)</f>
        <v/>
      </c>
      <c r="K63" s="63" t="s">
        <v>932</v>
      </c>
    </row>
    <row r="64" spans="1:11">
      <c r="A64" s="52" t="s">
        <v>197</v>
      </c>
      <c r="B64" s="53" t="s">
        <v>13</v>
      </c>
      <c r="C64" s="315" t="s">
        <v>978</v>
      </c>
      <c r="D64" s="316"/>
      <c r="E64" s="316"/>
      <c r="F64" s="316"/>
      <c r="G64" s="316"/>
      <c r="H64" s="317"/>
      <c r="I64" s="240" t="s">
        <v>876</v>
      </c>
      <c r="J64" s="92" t="str">
        <f>IF(データ抽出!F64="","",データ抽出!F64)</f>
        <v/>
      </c>
      <c r="K64" s="63"/>
    </row>
    <row r="65" spans="1:11">
      <c r="A65" s="52" t="s">
        <v>198</v>
      </c>
      <c r="B65" s="53" t="s">
        <v>420</v>
      </c>
      <c r="C65" s="345" t="s">
        <v>979</v>
      </c>
      <c r="D65" s="346"/>
      <c r="E65" s="346"/>
      <c r="F65" s="346"/>
      <c r="G65" s="346"/>
      <c r="H65" s="347"/>
      <c r="I65" s="239" t="s">
        <v>876</v>
      </c>
      <c r="J65" s="92" t="str">
        <f>IF(データ抽出!F65="","",データ抽出!F65)</f>
        <v/>
      </c>
      <c r="K65" s="63" t="s">
        <v>521</v>
      </c>
    </row>
    <row r="66" spans="1:11">
      <c r="A66" s="52" t="s">
        <v>199</v>
      </c>
      <c r="B66" s="53" t="s">
        <v>421</v>
      </c>
      <c r="C66" s="348" t="s">
        <v>980</v>
      </c>
      <c r="D66" s="316"/>
      <c r="E66" s="316"/>
      <c r="F66" s="316"/>
      <c r="G66" s="316"/>
      <c r="H66" s="317"/>
      <c r="I66" s="240" t="s">
        <v>876</v>
      </c>
      <c r="J66" s="92" t="str">
        <f>IF(データ抽出!F66="","",データ抽出!F66)</f>
        <v/>
      </c>
      <c r="K66" s="63"/>
    </row>
    <row r="67" spans="1:11">
      <c r="A67" s="197" t="str">
        <f>IF(LEFT(C$16,4)="ローカル","","5-17")</f>
        <v>5-17</v>
      </c>
      <c r="B67" s="178" t="str">
        <f>IF(LEFT(C$16,4)="ローカル","","オーナー様向け 異常発生・復旧メール通知設定")</f>
        <v>オーナー様向け 異常発生・復旧メール通知設定</v>
      </c>
      <c r="C67" s="282" t="s">
        <v>707</v>
      </c>
      <c r="D67" s="283"/>
      <c r="E67" s="283"/>
      <c r="F67" s="283"/>
      <c r="G67" s="283"/>
      <c r="H67" s="284"/>
      <c r="I67" s="240" t="s">
        <v>876</v>
      </c>
      <c r="J67" s="92" t="str">
        <f>IF(データ抽出!F67="","",データ抽出!F67)</f>
        <v/>
      </c>
      <c r="K67" s="200" t="str">
        <f>IF(B67="","",IF(C$63="","",IF(C$63="新規登録","リストより選択","発電ポータルアカウントより変更が可能です")))</f>
        <v>リストより選択</v>
      </c>
    </row>
    <row r="68" spans="1:11">
      <c r="A68" s="196" t="str">
        <f>IF(LEFT(C$16,4)="ローカル","",IF(LEFT(C$16,14)="クラウド監視サービスLite","",IF(LEFT(C$16,21)="クラウド区画分譲オプションサービスLite","","5-18")))</f>
        <v>5-18</v>
      </c>
      <c r="B68" s="178" t="str">
        <f>IF(LEFT(C$16,4)="ローカル","",IF(LEFT(C$16,14)="クラウド監視サービスLite","",IF(LEFT(C$16,21)="クラウド区画分譲オプションサービスLite","","オーナー様向け 異常対応更新メール通知設定")))</f>
        <v>オーナー様向け 異常対応更新メール通知設定</v>
      </c>
      <c r="C68" s="282" t="s">
        <v>707</v>
      </c>
      <c r="D68" s="283"/>
      <c r="E68" s="283"/>
      <c r="F68" s="283"/>
      <c r="G68" s="283"/>
      <c r="H68" s="284"/>
      <c r="I68" s="240" t="s">
        <v>876</v>
      </c>
      <c r="J68" s="92" t="str">
        <f>IF(データ抽出!F68="","",データ抽出!F68)</f>
        <v/>
      </c>
      <c r="K68" s="200" t="str">
        <f t="shared" ref="K68:K69" si="0">IF(B68="","",IF(C$63="","",IF(C$63="新規登録","リストより選択","発電ポータルアカウントより変更が可能です")))</f>
        <v>リストより選択</v>
      </c>
    </row>
    <row r="69" spans="1:11">
      <c r="A69" s="198" t="str">
        <f>IF(LEFT(C$16,4)="ローカル","",IF(LEFT(C$16,14)="クラウド監視サービスLite","",IF(LEFT(C$16,21)="クラウド区画分譲オプションサービスLite","","5-19")))</f>
        <v>5-19</v>
      </c>
      <c r="B69" s="201" t="str">
        <f>IF(LEFT(C$16,4)="ローカル","",IF(LEFT(C$16,14)="クラウド監視サービスLite","",IF(LEFT(C$16,21)="クラウド区画分譲オプションサービスLite","","オーナー様向け 月次レポートメール通知設定")))</f>
        <v>オーナー様向け 月次レポートメール通知設定</v>
      </c>
      <c r="C69" s="364" t="s">
        <v>707</v>
      </c>
      <c r="D69" s="365"/>
      <c r="E69" s="365"/>
      <c r="F69" s="365"/>
      <c r="G69" s="365"/>
      <c r="H69" s="366"/>
      <c r="I69" s="244" t="s">
        <v>876</v>
      </c>
      <c r="J69" s="93" t="str">
        <f>IF(データ抽出!F69="","",データ抽出!F69)</f>
        <v/>
      </c>
      <c r="K69" s="202" t="str">
        <f t="shared" si="0"/>
        <v>リストより選択</v>
      </c>
    </row>
    <row r="70" spans="1:11">
      <c r="A70" s="70" t="s">
        <v>203</v>
      </c>
      <c r="B70" s="65" t="s">
        <v>417</v>
      </c>
      <c r="C70" s="367" t="s">
        <v>981</v>
      </c>
      <c r="D70" s="368"/>
      <c r="E70" s="368"/>
      <c r="F70" s="368"/>
      <c r="G70" s="368"/>
      <c r="H70" s="369"/>
      <c r="I70" s="245" t="s">
        <v>876</v>
      </c>
      <c r="J70" s="91" t="str">
        <f>IF(データ抽出!F70="","",データ抽出!F70)</f>
        <v/>
      </c>
      <c r="K70" s="203" t="s">
        <v>1046</v>
      </c>
    </row>
    <row r="71" spans="1:11">
      <c r="A71" s="69" t="s">
        <v>204</v>
      </c>
      <c r="B71" s="64" t="s">
        <v>416</v>
      </c>
      <c r="C71" s="352" t="s">
        <v>706</v>
      </c>
      <c r="D71" s="353"/>
      <c r="E71" s="353"/>
      <c r="F71" s="353"/>
      <c r="G71" s="353"/>
      <c r="H71" s="354"/>
      <c r="I71" s="241" t="s">
        <v>876</v>
      </c>
      <c r="J71" s="104" t="str">
        <f>IF(データ抽出!F71="","",データ抽出!F71)</f>
        <v/>
      </c>
      <c r="K71" s="112" t="s">
        <v>527</v>
      </c>
    </row>
    <row r="72" spans="1:11">
      <c r="A72" s="70" t="s">
        <v>205</v>
      </c>
      <c r="B72" s="65" t="s">
        <v>542</v>
      </c>
      <c r="C72" s="367" t="s">
        <v>983</v>
      </c>
      <c r="D72" s="368"/>
      <c r="E72" s="368"/>
      <c r="F72" s="368"/>
      <c r="G72" s="368"/>
      <c r="H72" s="369"/>
      <c r="I72" s="245" t="str">
        <f>IF(データ抽出!E72="","",データ抽出!E72)</f>
        <v>必須</v>
      </c>
      <c r="J72" s="91" t="str">
        <f>IF(データ抽出!F72="","",データ抽出!F72)</f>
        <v/>
      </c>
      <c r="K72" s="113" t="s">
        <v>478</v>
      </c>
    </row>
    <row r="73" spans="1:11">
      <c r="A73" s="52" t="s">
        <v>206</v>
      </c>
      <c r="B73" s="53" t="s">
        <v>543</v>
      </c>
      <c r="C73" s="315" t="s">
        <v>984</v>
      </c>
      <c r="D73" s="316"/>
      <c r="E73" s="316"/>
      <c r="F73" s="316"/>
      <c r="G73" s="316"/>
      <c r="H73" s="317"/>
      <c r="I73" s="240" t="str">
        <f>IF(データ抽出!E73="","",データ抽出!E73)</f>
        <v>必須</v>
      </c>
      <c r="J73" s="92" t="str">
        <f>IF(データ抽出!F73="","",データ抽出!F73)</f>
        <v/>
      </c>
      <c r="K73" s="63" t="s">
        <v>479</v>
      </c>
    </row>
    <row r="74" spans="1:11">
      <c r="A74" s="71" t="s">
        <v>207</v>
      </c>
      <c r="B74" s="66" t="s">
        <v>946</v>
      </c>
      <c r="C74" s="352">
        <v>123456789</v>
      </c>
      <c r="D74" s="353"/>
      <c r="E74" s="353"/>
      <c r="F74" s="353"/>
      <c r="G74" s="353"/>
      <c r="H74" s="354"/>
      <c r="I74" s="244" t="s">
        <v>876</v>
      </c>
      <c r="J74" s="93" t="str">
        <f>IF(データ抽出!F74="","",データ抽出!F74)</f>
        <v/>
      </c>
      <c r="K74" s="114" t="s">
        <v>525</v>
      </c>
    </row>
    <row r="75" spans="1:11">
      <c r="A75" s="72" t="s">
        <v>208</v>
      </c>
      <c r="B75" s="67" t="s">
        <v>544</v>
      </c>
      <c r="C75" s="355" t="s">
        <v>982</v>
      </c>
      <c r="D75" s="356"/>
      <c r="E75" s="356"/>
      <c r="F75" s="356"/>
      <c r="G75" s="356"/>
      <c r="H75" s="357"/>
      <c r="I75" s="245" t="str">
        <f>IF(データ抽出!E75="","",データ抽出!E75)</f>
        <v/>
      </c>
      <c r="J75" s="91" t="str">
        <f>IF(データ抽出!F75="","",データ抽出!F75)</f>
        <v/>
      </c>
      <c r="K75" s="113" t="s">
        <v>478</v>
      </c>
    </row>
    <row r="76" spans="1:11">
      <c r="A76" s="52" t="s">
        <v>209</v>
      </c>
      <c r="B76" s="53" t="s">
        <v>545</v>
      </c>
      <c r="C76" s="358" t="s">
        <v>985</v>
      </c>
      <c r="D76" s="359"/>
      <c r="E76" s="359"/>
      <c r="F76" s="359"/>
      <c r="G76" s="359"/>
      <c r="H76" s="360"/>
      <c r="I76" s="240" t="str">
        <f>IF(データ抽出!E76="","",データ抽出!E76)</f>
        <v/>
      </c>
      <c r="J76" s="92" t="str">
        <f>IF(データ抽出!F76="","",データ抽出!F76)</f>
        <v/>
      </c>
      <c r="K76" s="63" t="s">
        <v>479</v>
      </c>
    </row>
    <row r="77" spans="1:11">
      <c r="A77" s="69" t="s">
        <v>210</v>
      </c>
      <c r="B77" s="64" t="s">
        <v>558</v>
      </c>
      <c r="C77" s="361">
        <v>123456789</v>
      </c>
      <c r="D77" s="362"/>
      <c r="E77" s="362"/>
      <c r="F77" s="362"/>
      <c r="G77" s="362"/>
      <c r="H77" s="363"/>
      <c r="I77" s="244" t="str">
        <f>IF(データ抽出!E77="","",データ抽出!E77)</f>
        <v/>
      </c>
      <c r="J77" s="93" t="str">
        <f>IF(データ抽出!F77="","",データ抽出!F77)</f>
        <v/>
      </c>
      <c r="K77" s="114" t="s">
        <v>525</v>
      </c>
    </row>
    <row r="78" spans="1:11">
      <c r="A78" s="70" t="s">
        <v>211</v>
      </c>
      <c r="B78" s="65" t="s">
        <v>546</v>
      </c>
      <c r="C78" s="355" t="s">
        <v>982</v>
      </c>
      <c r="D78" s="356"/>
      <c r="E78" s="356"/>
      <c r="F78" s="356"/>
      <c r="G78" s="356"/>
      <c r="H78" s="357"/>
      <c r="I78" s="245" t="str">
        <f>IF(データ抽出!E78="","",データ抽出!E78)</f>
        <v/>
      </c>
      <c r="J78" s="91" t="str">
        <f>IF(データ抽出!F78="","",データ抽出!F78)</f>
        <v/>
      </c>
      <c r="K78" s="113" t="s">
        <v>478</v>
      </c>
    </row>
    <row r="79" spans="1:11">
      <c r="A79" s="52" t="s">
        <v>212</v>
      </c>
      <c r="B79" s="53" t="s">
        <v>547</v>
      </c>
      <c r="C79" s="358" t="s">
        <v>986</v>
      </c>
      <c r="D79" s="359"/>
      <c r="E79" s="359"/>
      <c r="F79" s="359"/>
      <c r="G79" s="359"/>
      <c r="H79" s="360"/>
      <c r="I79" s="240" t="str">
        <f>IF(データ抽出!E79="","",データ抽出!E79)</f>
        <v/>
      </c>
      <c r="J79" s="92" t="str">
        <f>IF(データ抽出!F79="","",データ抽出!F79)</f>
        <v/>
      </c>
      <c r="K79" s="63" t="s">
        <v>479</v>
      </c>
    </row>
    <row r="80" spans="1:11">
      <c r="A80" s="71" t="s">
        <v>213</v>
      </c>
      <c r="B80" s="66" t="s">
        <v>559</v>
      </c>
      <c r="C80" s="361">
        <v>123456789</v>
      </c>
      <c r="D80" s="362"/>
      <c r="E80" s="362"/>
      <c r="F80" s="362"/>
      <c r="G80" s="362"/>
      <c r="H80" s="363"/>
      <c r="I80" s="244" t="str">
        <f>IF(データ抽出!E80="","",データ抽出!E80)</f>
        <v/>
      </c>
      <c r="J80" s="93" t="str">
        <f>IF(データ抽出!F80="","",データ抽出!F80)</f>
        <v/>
      </c>
      <c r="K80" s="114" t="s">
        <v>525</v>
      </c>
    </row>
    <row r="81" spans="1:11">
      <c r="A81" s="72" t="s">
        <v>214</v>
      </c>
      <c r="B81" s="67" t="s">
        <v>548</v>
      </c>
      <c r="C81" s="355" t="s">
        <v>982</v>
      </c>
      <c r="D81" s="356"/>
      <c r="E81" s="356"/>
      <c r="F81" s="356"/>
      <c r="G81" s="356"/>
      <c r="H81" s="357"/>
      <c r="I81" s="245" t="str">
        <f>IF(データ抽出!E81="","",データ抽出!E81)</f>
        <v/>
      </c>
      <c r="J81" s="91" t="str">
        <f>IF(データ抽出!F81="","",データ抽出!F81)</f>
        <v/>
      </c>
      <c r="K81" s="113" t="s">
        <v>478</v>
      </c>
    </row>
    <row r="82" spans="1:11">
      <c r="A82" s="52" t="s">
        <v>215</v>
      </c>
      <c r="B82" s="53" t="s">
        <v>549</v>
      </c>
      <c r="C82" s="358" t="s">
        <v>987</v>
      </c>
      <c r="D82" s="359"/>
      <c r="E82" s="359"/>
      <c r="F82" s="359"/>
      <c r="G82" s="359"/>
      <c r="H82" s="360"/>
      <c r="I82" s="240" t="str">
        <f>IF(データ抽出!E82="","",データ抽出!E82)</f>
        <v/>
      </c>
      <c r="J82" s="92" t="str">
        <f>IF(データ抽出!F82="","",データ抽出!F82)</f>
        <v/>
      </c>
      <c r="K82" s="63" t="s">
        <v>479</v>
      </c>
    </row>
    <row r="83" spans="1:11">
      <c r="A83" s="69" t="s">
        <v>216</v>
      </c>
      <c r="B83" s="64" t="s">
        <v>560</v>
      </c>
      <c r="C83" s="361">
        <v>123456789</v>
      </c>
      <c r="D83" s="362"/>
      <c r="E83" s="362"/>
      <c r="F83" s="362"/>
      <c r="G83" s="362"/>
      <c r="H83" s="363"/>
      <c r="I83" s="244" t="str">
        <f>IF(データ抽出!E83="","",データ抽出!E83)</f>
        <v/>
      </c>
      <c r="J83" s="93" t="str">
        <f>IF(データ抽出!F83="","",データ抽出!F83)</f>
        <v/>
      </c>
      <c r="K83" s="114" t="s">
        <v>525</v>
      </c>
    </row>
    <row r="84" spans="1:11">
      <c r="A84" s="70" t="s">
        <v>217</v>
      </c>
      <c r="B84" s="65" t="s">
        <v>550</v>
      </c>
      <c r="C84" s="355" t="s">
        <v>982</v>
      </c>
      <c r="D84" s="356"/>
      <c r="E84" s="356"/>
      <c r="F84" s="356"/>
      <c r="G84" s="356"/>
      <c r="H84" s="357"/>
      <c r="I84" s="245" t="str">
        <f>IF(データ抽出!E84="","",データ抽出!E84)</f>
        <v/>
      </c>
      <c r="J84" s="91" t="str">
        <f>IF(データ抽出!F84="","",データ抽出!F84)</f>
        <v/>
      </c>
      <c r="K84" s="113" t="s">
        <v>478</v>
      </c>
    </row>
    <row r="85" spans="1:11">
      <c r="A85" s="52" t="s">
        <v>218</v>
      </c>
      <c r="B85" s="53" t="s">
        <v>551</v>
      </c>
      <c r="C85" s="358" t="s">
        <v>988</v>
      </c>
      <c r="D85" s="359"/>
      <c r="E85" s="359"/>
      <c r="F85" s="359"/>
      <c r="G85" s="359"/>
      <c r="H85" s="360"/>
      <c r="I85" s="240" t="str">
        <f>IF(データ抽出!E85="","",データ抽出!E85)</f>
        <v/>
      </c>
      <c r="J85" s="92" t="str">
        <f>IF(データ抽出!F85="","",データ抽出!F85)</f>
        <v/>
      </c>
      <c r="K85" s="63" t="s">
        <v>479</v>
      </c>
    </row>
    <row r="86" spans="1:11">
      <c r="A86" s="71" t="s">
        <v>219</v>
      </c>
      <c r="B86" s="66" t="s">
        <v>561</v>
      </c>
      <c r="C86" s="361">
        <v>123456789</v>
      </c>
      <c r="D86" s="362"/>
      <c r="E86" s="362"/>
      <c r="F86" s="362"/>
      <c r="G86" s="362"/>
      <c r="H86" s="363"/>
      <c r="I86" s="244" t="str">
        <f>IF(データ抽出!E86="","",データ抽出!E86)</f>
        <v/>
      </c>
      <c r="J86" s="93" t="str">
        <f>IF(データ抽出!F86="","",データ抽出!F86)</f>
        <v/>
      </c>
      <c r="K86" s="114" t="s">
        <v>525</v>
      </c>
    </row>
    <row r="87" spans="1:11">
      <c r="A87" s="72" t="s">
        <v>220</v>
      </c>
      <c r="B87" s="67" t="s">
        <v>552</v>
      </c>
      <c r="C87" s="355" t="s">
        <v>982</v>
      </c>
      <c r="D87" s="356"/>
      <c r="E87" s="356"/>
      <c r="F87" s="356"/>
      <c r="G87" s="356"/>
      <c r="H87" s="357"/>
      <c r="I87" s="245" t="str">
        <f>IF(データ抽出!E87="","",データ抽出!E87)</f>
        <v/>
      </c>
      <c r="J87" s="91" t="str">
        <f>IF(データ抽出!F87="","",データ抽出!F87)</f>
        <v/>
      </c>
      <c r="K87" s="113" t="s">
        <v>478</v>
      </c>
    </row>
    <row r="88" spans="1:11">
      <c r="A88" s="52" t="s">
        <v>221</v>
      </c>
      <c r="B88" s="53" t="s">
        <v>553</v>
      </c>
      <c r="C88" s="358" t="s">
        <v>989</v>
      </c>
      <c r="D88" s="359"/>
      <c r="E88" s="359"/>
      <c r="F88" s="359"/>
      <c r="G88" s="359"/>
      <c r="H88" s="360"/>
      <c r="I88" s="240" t="str">
        <f>IF(データ抽出!E88="","",データ抽出!E88)</f>
        <v/>
      </c>
      <c r="J88" s="92" t="str">
        <f>IF(データ抽出!F88="","",データ抽出!F88)</f>
        <v/>
      </c>
      <c r="K88" s="63" t="s">
        <v>479</v>
      </c>
    </row>
    <row r="89" spans="1:11">
      <c r="A89" s="69" t="s">
        <v>222</v>
      </c>
      <c r="B89" s="64" t="s">
        <v>562</v>
      </c>
      <c r="C89" s="361">
        <v>123456789</v>
      </c>
      <c r="D89" s="362"/>
      <c r="E89" s="362"/>
      <c r="F89" s="362"/>
      <c r="G89" s="362"/>
      <c r="H89" s="363"/>
      <c r="I89" s="244" t="str">
        <f>IF(データ抽出!E89="","",データ抽出!E89)</f>
        <v/>
      </c>
      <c r="J89" s="93" t="str">
        <f>IF(データ抽出!F89="","",データ抽出!F89)</f>
        <v/>
      </c>
      <c r="K89" s="114" t="s">
        <v>525</v>
      </c>
    </row>
    <row r="90" spans="1:11">
      <c r="A90" s="70" t="s">
        <v>223</v>
      </c>
      <c r="B90" s="65" t="s">
        <v>554</v>
      </c>
      <c r="C90" s="355" t="s">
        <v>982</v>
      </c>
      <c r="D90" s="356"/>
      <c r="E90" s="356"/>
      <c r="F90" s="356"/>
      <c r="G90" s="356"/>
      <c r="H90" s="357"/>
      <c r="I90" s="245" t="str">
        <f>IF(データ抽出!E90="","",データ抽出!E90)</f>
        <v/>
      </c>
      <c r="J90" s="91" t="str">
        <f>IF(データ抽出!F90="","",データ抽出!F90)</f>
        <v/>
      </c>
      <c r="K90" s="113" t="s">
        <v>478</v>
      </c>
    </row>
    <row r="91" spans="1:11">
      <c r="A91" s="52" t="s">
        <v>224</v>
      </c>
      <c r="B91" s="53" t="s">
        <v>555</v>
      </c>
      <c r="C91" s="358" t="s">
        <v>990</v>
      </c>
      <c r="D91" s="359"/>
      <c r="E91" s="359"/>
      <c r="F91" s="359"/>
      <c r="G91" s="359"/>
      <c r="H91" s="360"/>
      <c r="I91" s="240" t="str">
        <f>IF(データ抽出!E91="","",データ抽出!E91)</f>
        <v/>
      </c>
      <c r="J91" s="92" t="str">
        <f>IF(データ抽出!F91="","",データ抽出!F91)</f>
        <v/>
      </c>
      <c r="K91" s="63" t="s">
        <v>479</v>
      </c>
    </row>
    <row r="92" spans="1:11">
      <c r="A92" s="71" t="s">
        <v>225</v>
      </c>
      <c r="B92" s="66" t="s">
        <v>563</v>
      </c>
      <c r="C92" s="361">
        <v>123456789</v>
      </c>
      <c r="D92" s="362"/>
      <c r="E92" s="362"/>
      <c r="F92" s="362"/>
      <c r="G92" s="362"/>
      <c r="H92" s="363"/>
      <c r="I92" s="244" t="str">
        <f>IF(データ抽出!E92="","",データ抽出!E92)</f>
        <v/>
      </c>
      <c r="J92" s="93" t="str">
        <f>IF(データ抽出!F92="","",データ抽出!F92)</f>
        <v/>
      </c>
      <c r="K92" s="114" t="s">
        <v>525</v>
      </c>
    </row>
    <row r="93" spans="1:11" ht="15" customHeight="1">
      <c r="A93" s="72" t="s">
        <v>800</v>
      </c>
      <c r="B93" s="67" t="s">
        <v>556</v>
      </c>
      <c r="C93" s="355" t="s">
        <v>982</v>
      </c>
      <c r="D93" s="356"/>
      <c r="E93" s="356"/>
      <c r="F93" s="356"/>
      <c r="G93" s="356"/>
      <c r="H93" s="357"/>
      <c r="I93" s="245" t="str">
        <f>IF(データ抽出!E93="","",データ抽出!E93)</f>
        <v/>
      </c>
      <c r="J93" s="91" t="str">
        <f>IF(データ抽出!F93="","",データ抽出!F93)</f>
        <v/>
      </c>
      <c r="K93" s="113" t="s">
        <v>478</v>
      </c>
    </row>
    <row r="94" spans="1:11" ht="15" customHeight="1">
      <c r="A94" s="52" t="s">
        <v>802</v>
      </c>
      <c r="B94" s="53" t="s">
        <v>557</v>
      </c>
      <c r="C94" s="358" t="s">
        <v>991</v>
      </c>
      <c r="D94" s="359"/>
      <c r="E94" s="359"/>
      <c r="F94" s="359"/>
      <c r="G94" s="359"/>
      <c r="H94" s="360"/>
      <c r="I94" s="240" t="str">
        <f>IF(データ抽出!E94="","",データ抽出!E94)</f>
        <v/>
      </c>
      <c r="J94" s="92" t="str">
        <f>IF(データ抽出!F94="","",データ抽出!F94)</f>
        <v/>
      </c>
      <c r="K94" s="63" t="s">
        <v>479</v>
      </c>
    </row>
    <row r="95" spans="1:11" ht="15" customHeight="1" thickBot="1">
      <c r="A95" s="57" t="s">
        <v>804</v>
      </c>
      <c r="B95" s="59" t="s">
        <v>564</v>
      </c>
      <c r="C95" s="339">
        <v>123456789</v>
      </c>
      <c r="D95" s="340"/>
      <c r="E95" s="340"/>
      <c r="F95" s="340"/>
      <c r="G95" s="340"/>
      <c r="H95" s="341"/>
      <c r="I95" s="244" t="str">
        <f>IF(データ抽出!E95="","",データ抽出!E95)</f>
        <v/>
      </c>
      <c r="J95" s="93" t="str">
        <f>IF(データ抽出!F95="","",データ抽出!F95)</f>
        <v/>
      </c>
      <c r="K95" s="114" t="s">
        <v>525</v>
      </c>
    </row>
    <row r="96" spans="1:11" ht="15" customHeight="1">
      <c r="A96" s="310" t="s">
        <v>438</v>
      </c>
      <c r="B96" s="349" t="s">
        <v>746</v>
      </c>
      <c r="C96" s="350"/>
      <c r="D96" s="350"/>
      <c r="E96" s="350"/>
      <c r="F96" s="350"/>
      <c r="G96" s="350"/>
      <c r="H96" s="350"/>
      <c r="I96" s="350"/>
      <c r="J96" s="350"/>
      <c r="K96" s="351"/>
    </row>
    <row r="97" spans="1:11" ht="15" customHeight="1">
      <c r="A97" s="311"/>
      <c r="B97" s="349" t="s">
        <v>945</v>
      </c>
      <c r="C97" s="350"/>
      <c r="D97" s="350"/>
      <c r="E97" s="350"/>
      <c r="F97" s="350"/>
      <c r="G97" s="350"/>
      <c r="H97" s="350"/>
      <c r="I97" s="350"/>
      <c r="J97" s="350"/>
      <c r="K97" s="351"/>
    </row>
    <row r="98" spans="1:11" ht="30" customHeight="1">
      <c r="A98" s="311"/>
      <c r="B98" s="349"/>
      <c r="C98" s="350"/>
      <c r="D98" s="350"/>
      <c r="E98" s="350"/>
      <c r="F98" s="350"/>
      <c r="G98" s="350"/>
      <c r="H98" s="350"/>
      <c r="I98" s="350"/>
      <c r="J98" s="350"/>
      <c r="K98" s="351"/>
    </row>
    <row r="99" spans="1:11" ht="15" customHeight="1">
      <c r="A99" s="312"/>
      <c r="B99" s="336" t="s">
        <v>777</v>
      </c>
      <c r="C99" s="337"/>
      <c r="D99" s="337"/>
      <c r="E99" s="337"/>
      <c r="F99" s="337"/>
      <c r="G99" s="337"/>
      <c r="H99" s="337"/>
      <c r="I99" s="337"/>
      <c r="J99" s="337"/>
      <c r="K99" s="338"/>
    </row>
    <row r="100" spans="1:11" ht="20.149999999999999" customHeight="1" thickBot="1">
      <c r="A100" s="330" t="s">
        <v>432</v>
      </c>
      <c r="B100" s="331"/>
      <c r="C100" s="332"/>
      <c r="D100" s="332"/>
      <c r="E100" s="332"/>
      <c r="F100" s="332"/>
      <c r="G100" s="332"/>
      <c r="H100" s="332"/>
      <c r="I100" s="331"/>
      <c r="J100" s="331"/>
      <c r="K100" s="333"/>
    </row>
    <row r="101" spans="1:11">
      <c r="A101" s="74" t="s">
        <v>226</v>
      </c>
      <c r="B101" s="75" t="s">
        <v>423</v>
      </c>
      <c r="C101" s="294" t="s">
        <v>992</v>
      </c>
      <c r="D101" s="295"/>
      <c r="E101" s="295"/>
      <c r="F101" s="295"/>
      <c r="G101" s="295"/>
      <c r="H101" s="296"/>
      <c r="I101" s="243" t="s">
        <v>876</v>
      </c>
      <c r="J101" s="105" t="str">
        <f>IF(データ抽出!F101="","",データ抽出!F101)</f>
        <v/>
      </c>
      <c r="K101" s="80" t="s">
        <v>479</v>
      </c>
    </row>
    <row r="102" spans="1:11">
      <c r="A102" s="52" t="s">
        <v>227</v>
      </c>
      <c r="B102" s="53" t="s">
        <v>422</v>
      </c>
      <c r="C102" s="315" t="s">
        <v>706</v>
      </c>
      <c r="D102" s="316"/>
      <c r="E102" s="316"/>
      <c r="F102" s="316"/>
      <c r="G102" s="316"/>
      <c r="H102" s="317"/>
      <c r="I102" s="240" t="s">
        <v>876</v>
      </c>
      <c r="J102" s="92" t="str">
        <f>IF(データ抽出!F102="","",データ抽出!F102)</f>
        <v/>
      </c>
      <c r="K102" s="63" t="s">
        <v>527</v>
      </c>
    </row>
    <row r="103" spans="1:11">
      <c r="A103" s="52" t="s">
        <v>228</v>
      </c>
      <c r="B103" s="53" t="s">
        <v>408</v>
      </c>
      <c r="C103" s="342" t="s">
        <v>993</v>
      </c>
      <c r="D103" s="343"/>
      <c r="E103" s="343"/>
      <c r="F103" s="343" t="s">
        <v>994</v>
      </c>
      <c r="G103" s="343"/>
      <c r="H103" s="344"/>
      <c r="I103" s="240" t="s">
        <v>876</v>
      </c>
      <c r="J103" s="92" t="str">
        <f>IF(データ抽出!F103="","",データ抽出!F103)</f>
        <v/>
      </c>
      <c r="K103" s="63" t="s">
        <v>531</v>
      </c>
    </row>
    <row r="104" spans="1:11">
      <c r="A104" s="52" t="s">
        <v>229</v>
      </c>
      <c r="B104" s="53" t="s">
        <v>534</v>
      </c>
      <c r="C104" s="345" t="s">
        <v>995</v>
      </c>
      <c r="D104" s="346"/>
      <c r="E104" s="346"/>
      <c r="F104" s="346"/>
      <c r="G104" s="346"/>
      <c r="H104" s="347"/>
      <c r="I104" s="239" t="s">
        <v>876</v>
      </c>
      <c r="J104" s="92" t="str">
        <f>IF(データ抽出!F104="","",データ抽出!F104)</f>
        <v/>
      </c>
      <c r="K104" s="63" t="s">
        <v>521</v>
      </c>
    </row>
    <row r="105" spans="1:11">
      <c r="A105" s="52" t="s">
        <v>230</v>
      </c>
      <c r="B105" s="53" t="s">
        <v>535</v>
      </c>
      <c r="C105" s="348" t="s">
        <v>996</v>
      </c>
      <c r="D105" s="316"/>
      <c r="E105" s="316"/>
      <c r="F105" s="316"/>
      <c r="G105" s="316"/>
      <c r="H105" s="317"/>
      <c r="I105" s="240" t="s">
        <v>876</v>
      </c>
      <c r="J105" s="92" t="str">
        <f>IF(データ抽出!F105="","",データ抽出!F105)</f>
        <v/>
      </c>
      <c r="K105" s="63"/>
    </row>
    <row r="106" spans="1:11">
      <c r="A106" s="196" t="str">
        <f>IF(LEFT(C$16,4)="ローカル","",IF(LEFT(C$16,14)="クラウド監視サービスLite","",IF(LEFT(C$16,21)="クラウド区画分譲オプションサービスLite","","6-6")))</f>
        <v>6-6</v>
      </c>
      <c r="B106" s="100" t="str">
        <f>IF(LEFT(C$16,4)="ローカル","",IF(LEFT(C$16,14)="クラウド監視サービスLite","",IF(LEFT(C$16,21)="クラウド区画分譲オプションサービスLite","","保守責任事業者様向け 異常発生・復旧メール通知設定")))</f>
        <v>保守責任事業者様向け 異常発生・復旧メール通知設定</v>
      </c>
      <c r="C106" s="282" t="s">
        <v>707</v>
      </c>
      <c r="D106" s="283"/>
      <c r="E106" s="283"/>
      <c r="F106" s="283"/>
      <c r="G106" s="283"/>
      <c r="H106" s="284"/>
      <c r="I106" s="236" t="s">
        <v>876</v>
      </c>
      <c r="J106" s="92" t="str">
        <f>IF(データ抽出!F106="","",データ抽出!F106)</f>
        <v/>
      </c>
      <c r="K106" s="199" t="str">
        <f>IF(B106="","",IF(C$102="","",IF(C$102="新規登録","リストより選択","保守ポータルアカウントより変更が可能です")))</f>
        <v>リストより選択</v>
      </c>
    </row>
    <row r="107" spans="1:11">
      <c r="A107" s="196" t="str">
        <f>IF(LEFT(C$16,4)="ローカル","",IF(LEFT(C$16,14)="クラウド監視サービスLite","",IF(LEFT(C$16,21)="クラウド区画分譲オプションサービスLite","","6-7")))</f>
        <v>6-7</v>
      </c>
      <c r="B107" s="179" t="str">
        <f>IF(LEFT(C$16,4)="ローカル","",IF(LEFT(C$16,14)="クラウド監視サービスLite","",IF(LEFT(C$16,21)="クラウド区画分譲オプションサービスLite","","保守責任事業者様向け 異常対応更新メール通知設定")))</f>
        <v>保守責任事業者様向け 異常対応更新メール通知設定</v>
      </c>
      <c r="C107" s="282" t="s">
        <v>707</v>
      </c>
      <c r="D107" s="283"/>
      <c r="E107" s="283"/>
      <c r="F107" s="283"/>
      <c r="G107" s="283"/>
      <c r="H107" s="284"/>
      <c r="I107" s="236" t="s">
        <v>876</v>
      </c>
      <c r="J107" s="104" t="str">
        <f>IF(データ抽出!F107="","",データ抽出!F107)</f>
        <v/>
      </c>
      <c r="K107" s="212" t="str">
        <f t="shared" ref="K107:K108" si="1">IF(B107="","",IF(C$102="","",IF(C$102="新規登録","リストより選択","保守ポータルアカウントより変更が可能です")))</f>
        <v>リストより選択</v>
      </c>
    </row>
    <row r="108" spans="1:11" ht="13.5" thickBot="1">
      <c r="A108" s="196" t="str">
        <f>IF(LEFT(C$16,4)="ローカル","",IF(LEFT(C$16,14)="クラウド監視サービスLite","",IF(LEFT(C$16,21)="クラウド区画分譲オプションサービスLite","","6-8")))</f>
        <v>6-8</v>
      </c>
      <c r="B108" s="180" t="str">
        <f>IF(LEFT(C$16,4)="ローカル","",IF(LEFT(C$16,14)="クラウド監視サービスLite","",IF(LEFT(C$16,21)="クラウド区画分譲オプションサービスLite","","保守責任事業者様向け 月次レポートメール通知設定")))</f>
        <v>保守責任事業者様向け 月次レポートメール通知設定</v>
      </c>
      <c r="C108" s="285" t="s">
        <v>707</v>
      </c>
      <c r="D108" s="286"/>
      <c r="E108" s="286"/>
      <c r="F108" s="286"/>
      <c r="G108" s="286"/>
      <c r="H108" s="287"/>
      <c r="I108" s="236" t="s">
        <v>876</v>
      </c>
      <c r="J108" s="93" t="str">
        <f>IF(データ抽出!F108="","",データ抽出!F108)</f>
        <v/>
      </c>
      <c r="K108" s="202" t="str">
        <f t="shared" si="1"/>
        <v>リストより選択</v>
      </c>
    </row>
    <row r="109" spans="1:11" ht="15" customHeight="1">
      <c r="A109" s="108" t="s">
        <v>438</v>
      </c>
      <c r="B109" s="336" t="s">
        <v>536</v>
      </c>
      <c r="C109" s="337"/>
      <c r="D109" s="337"/>
      <c r="E109" s="337"/>
      <c r="F109" s="337"/>
      <c r="G109" s="337"/>
      <c r="H109" s="337"/>
      <c r="I109" s="337"/>
      <c r="J109" s="337"/>
      <c r="K109" s="338"/>
    </row>
    <row r="110" spans="1:11" ht="20.149999999999999" customHeight="1" thickBot="1">
      <c r="A110" s="334" t="s">
        <v>812</v>
      </c>
      <c r="B110" s="332"/>
      <c r="C110" s="332"/>
      <c r="D110" s="332"/>
      <c r="E110" s="332"/>
      <c r="F110" s="332"/>
      <c r="G110" s="332"/>
      <c r="H110" s="332"/>
      <c r="I110" s="332"/>
      <c r="J110" s="332"/>
      <c r="K110" s="335"/>
    </row>
    <row r="111" spans="1:11" ht="45" customHeight="1" thickBot="1">
      <c r="A111" s="252" t="str">
        <f>IF(C16="","7-1",IF(RIGHT(C16,3)="有り）","7-1",IF(RIGHT(C16,4)="プラン）","7-1","")))</f>
        <v>7-1</v>
      </c>
      <c r="B111" s="50" t="str">
        <f>IF(C16="","「異常通知」、「発電量／見守りレポート」送付先
★ベースの監視サービスが、ローカル監視及び
クラウド監視Liteの場合は「異常通知」のみです。",IF(RIGHT(C16,3)="有り）","「異常通知」、「発電量／見守りレポート」送付先
★ベースの監視サービスが、ローカル監視及び
クラウド監視Liteの場合は「異常通知」のみです。",IF(RIGHT(C16,4)="プラン）","「異常通知」、「発電量／見守りレポート」送付先
★ベースの監視サービスが、ローカル監視及び
クラウド監視Liteの場合は「異常通知」のみです。","")))</f>
        <v>「異常通知」、「発電量／見守りレポート」送付先
★ベースの監視サービスが、ローカル監視及び
クラウド監視Liteの場合は「異常通知」のみです。</v>
      </c>
      <c r="C111" s="423" t="s">
        <v>814</v>
      </c>
      <c r="D111" s="424"/>
      <c r="E111" s="424"/>
      <c r="F111" s="424"/>
      <c r="G111" s="424"/>
      <c r="H111" s="425"/>
      <c r="I111" s="236" t="s">
        <v>876</v>
      </c>
      <c r="J111" s="94" t="str">
        <f>IF(データ抽出!F111="","",データ抽出!F111)</f>
        <v/>
      </c>
      <c r="K111" s="204" t="str">
        <f>IF(C16="","リストより選択
★監視代行オプションサービス又は20年アフター
　パックをお申込み済みのお客様が対象です",IF(RIGHT(C16,3)="有り）","リストより選択
★監視代行オプションサービス又は20年アフター
　パックをお申込み済みのお客様が対象です",IF(RIGHT(C16,4)="プラン）","リストより選択
★監視代行オプションサービス又は20年アフター
　パックをお申込み済みのお客様が対象です","")))</f>
        <v>リストより選択
★監視代行オプションサービス又は20年アフター
　パックをお申込み済みのお客様が対象です</v>
      </c>
    </row>
    <row r="112" spans="1:11" ht="20.149999999999999" customHeight="1" thickBot="1">
      <c r="A112" s="330" t="s">
        <v>485</v>
      </c>
      <c r="B112" s="331"/>
      <c r="C112" s="379"/>
      <c r="D112" s="379"/>
      <c r="E112" s="379"/>
      <c r="F112" s="379"/>
      <c r="G112" s="379"/>
      <c r="H112" s="379"/>
      <c r="I112" s="331"/>
      <c r="J112" s="331"/>
      <c r="K112" s="333"/>
    </row>
    <row r="113" spans="1:13">
      <c r="A113" s="74" t="s">
        <v>235</v>
      </c>
      <c r="B113" s="75" t="s">
        <v>469</v>
      </c>
      <c r="C113" s="426">
        <v>43656</v>
      </c>
      <c r="D113" s="427"/>
      <c r="E113" s="427"/>
      <c r="F113" s="427"/>
      <c r="G113" s="427"/>
      <c r="H113" s="428"/>
      <c r="I113" s="247" t="s">
        <v>876</v>
      </c>
      <c r="J113" s="105" t="str">
        <f>IF(データ抽出!F113="","",データ抽出!F113)</f>
        <v/>
      </c>
      <c r="K113" s="79"/>
    </row>
    <row r="114" spans="1:13" ht="14">
      <c r="A114" s="52" t="s">
        <v>236</v>
      </c>
      <c r="B114" s="53" t="s">
        <v>15</v>
      </c>
      <c r="C114" s="429">
        <v>43656</v>
      </c>
      <c r="D114" s="430"/>
      <c r="E114" s="430"/>
      <c r="F114" s="430"/>
      <c r="G114" s="430"/>
      <c r="H114" s="431"/>
      <c r="I114" s="248" t="s">
        <v>876</v>
      </c>
      <c r="J114" s="92" t="str">
        <f>IF(データ抽出!F114="","",データ抽出!F114)</f>
        <v/>
      </c>
      <c r="K114" s="62"/>
      <c r="M114" s="61" t="s">
        <v>435</v>
      </c>
    </row>
    <row r="115" spans="1:13">
      <c r="A115" s="52" t="s">
        <v>237</v>
      </c>
      <c r="B115" s="53" t="s">
        <v>424</v>
      </c>
      <c r="C115" s="315">
        <v>297</v>
      </c>
      <c r="D115" s="316"/>
      <c r="E115" s="316"/>
      <c r="F115" s="316"/>
      <c r="G115" s="316"/>
      <c r="H115" s="317"/>
      <c r="I115" s="240" t="s">
        <v>876</v>
      </c>
      <c r="J115" s="92" t="str">
        <f>IF(データ抽出!F115="","",データ抽出!F115)</f>
        <v/>
      </c>
      <c r="K115" s="181" t="s">
        <v>818</v>
      </c>
    </row>
    <row r="116" spans="1:13">
      <c r="A116" s="52" t="s">
        <v>238</v>
      </c>
      <c r="B116" s="53" t="s">
        <v>16</v>
      </c>
      <c r="C116" s="315" t="s">
        <v>997</v>
      </c>
      <c r="D116" s="316"/>
      <c r="E116" s="316"/>
      <c r="F116" s="316"/>
      <c r="G116" s="316"/>
      <c r="H116" s="317"/>
      <c r="I116" s="240" t="s">
        <v>876</v>
      </c>
      <c r="J116" s="92" t="str">
        <f>IF(データ抽出!F116="","",データ抽出!F116)</f>
        <v/>
      </c>
      <c r="K116" s="181" t="s">
        <v>527</v>
      </c>
    </row>
    <row r="117" spans="1:13">
      <c r="A117" s="52" t="s">
        <v>239</v>
      </c>
      <c r="B117" s="53" t="s">
        <v>817</v>
      </c>
      <c r="C117" s="315">
        <v>21</v>
      </c>
      <c r="D117" s="316"/>
      <c r="E117" s="316"/>
      <c r="F117" s="316"/>
      <c r="G117" s="316"/>
      <c r="H117" s="317"/>
      <c r="I117" s="240" t="s">
        <v>876</v>
      </c>
      <c r="J117" s="92" t="str">
        <f>IF(データ抽出!F117="","",データ抽出!F117)</f>
        <v/>
      </c>
      <c r="K117" s="181" t="s">
        <v>820</v>
      </c>
    </row>
    <row r="118" spans="1:13">
      <c r="A118" s="52" t="s">
        <v>240</v>
      </c>
      <c r="B118" s="53" t="s">
        <v>18</v>
      </c>
      <c r="C118" s="315" t="s">
        <v>998</v>
      </c>
      <c r="D118" s="316"/>
      <c r="E118" s="316"/>
      <c r="F118" s="316"/>
      <c r="G118" s="316"/>
      <c r="H118" s="317"/>
      <c r="I118" s="240" t="s">
        <v>876</v>
      </c>
      <c r="J118" s="92" t="str">
        <f>IF(データ抽出!F118="","",データ抽出!F118)</f>
        <v/>
      </c>
      <c r="K118" s="181"/>
    </row>
    <row r="119" spans="1:13">
      <c r="A119" s="52" t="s">
        <v>241</v>
      </c>
      <c r="B119" s="53" t="s">
        <v>19</v>
      </c>
      <c r="C119" s="315" t="s">
        <v>999</v>
      </c>
      <c r="D119" s="316"/>
      <c r="E119" s="316"/>
      <c r="F119" s="316"/>
      <c r="G119" s="316"/>
      <c r="H119" s="317"/>
      <c r="I119" s="240" t="s">
        <v>876</v>
      </c>
      <c r="J119" s="92" t="str">
        <f>IF(データ抽出!F119="","",データ抽出!F119)</f>
        <v/>
      </c>
      <c r="K119" s="181"/>
    </row>
    <row r="120" spans="1:13">
      <c r="A120" s="52" t="s">
        <v>242</v>
      </c>
      <c r="B120" s="53" t="s">
        <v>816</v>
      </c>
      <c r="C120" s="315">
        <v>250</v>
      </c>
      <c r="D120" s="316"/>
      <c r="E120" s="316"/>
      <c r="F120" s="316"/>
      <c r="G120" s="316"/>
      <c r="H120" s="317"/>
      <c r="I120" s="240" t="s">
        <v>876</v>
      </c>
      <c r="J120" s="92" t="str">
        <f>IF(データ抽出!F120="","",データ抽出!F120)</f>
        <v/>
      </c>
      <c r="K120" s="181" t="s">
        <v>821</v>
      </c>
    </row>
    <row r="121" spans="1:13">
      <c r="A121" s="52" t="s">
        <v>243</v>
      </c>
      <c r="B121" s="53" t="s">
        <v>537</v>
      </c>
      <c r="C121" s="315">
        <v>0</v>
      </c>
      <c r="D121" s="316"/>
      <c r="E121" s="316"/>
      <c r="F121" s="316"/>
      <c r="G121" s="316"/>
      <c r="H121" s="317"/>
      <c r="I121" s="240" t="s">
        <v>876</v>
      </c>
      <c r="J121" s="92" t="str">
        <f>IF(データ抽出!F121="","",データ抽出!F121)</f>
        <v/>
      </c>
      <c r="K121" s="181" t="s">
        <v>527</v>
      </c>
    </row>
    <row r="122" spans="1:13">
      <c r="A122" s="52" t="s">
        <v>244</v>
      </c>
      <c r="B122" s="53" t="s">
        <v>538</v>
      </c>
      <c r="C122" s="315">
        <v>20</v>
      </c>
      <c r="D122" s="316"/>
      <c r="E122" s="316"/>
      <c r="F122" s="316"/>
      <c r="G122" s="316"/>
      <c r="H122" s="317"/>
      <c r="I122" s="240" t="s">
        <v>876</v>
      </c>
      <c r="J122" s="92" t="str">
        <f>IF(データ抽出!F122="","",データ抽出!F122)</f>
        <v/>
      </c>
      <c r="K122" s="181" t="s">
        <v>527</v>
      </c>
    </row>
    <row r="123" spans="1:13">
      <c r="A123" s="52" t="s">
        <v>245</v>
      </c>
      <c r="B123" s="53" t="s">
        <v>426</v>
      </c>
      <c r="C123" s="315">
        <v>30</v>
      </c>
      <c r="D123" s="316"/>
      <c r="E123" s="316"/>
      <c r="F123" s="316"/>
      <c r="G123" s="316"/>
      <c r="H123" s="317"/>
      <c r="I123" s="240" t="s">
        <v>876</v>
      </c>
      <c r="J123" s="92" t="str">
        <f>IF(データ抽出!F123="","",データ抽出!F123)</f>
        <v/>
      </c>
      <c r="K123" s="181" t="s">
        <v>819</v>
      </c>
    </row>
    <row r="124" spans="1:13" ht="13.5" customHeight="1">
      <c r="A124" s="52" t="s">
        <v>246</v>
      </c>
      <c r="B124" s="53" t="s">
        <v>526</v>
      </c>
      <c r="C124" s="315" t="s">
        <v>708</v>
      </c>
      <c r="D124" s="316"/>
      <c r="E124" s="316"/>
      <c r="F124" s="316"/>
      <c r="G124" s="316"/>
      <c r="H124" s="317"/>
      <c r="I124" s="240" t="s">
        <v>876</v>
      </c>
      <c r="J124" s="92" t="str">
        <f>IF(データ抽出!F124="","",データ抽出!F124)</f>
        <v/>
      </c>
      <c r="K124" s="68" t="s">
        <v>687</v>
      </c>
    </row>
    <row r="125" spans="1:13">
      <c r="A125" s="209" t="str">
        <f>IF(C124="無し","","8-13")</f>
        <v>8-13</v>
      </c>
      <c r="B125" s="64" t="str">
        <f>IF(C124="無し","","日射計設置PCS　通信IDNo")</f>
        <v>日射計設置PCS　通信IDNo</v>
      </c>
      <c r="C125" s="318">
        <v>1</v>
      </c>
      <c r="D125" s="319"/>
      <c r="E125" s="319"/>
      <c r="F125" s="319"/>
      <c r="G125" s="319"/>
      <c r="H125" s="320"/>
      <c r="I125" s="241" t="s">
        <v>876</v>
      </c>
      <c r="J125" s="104" t="str">
        <f>IF(データ抽出!F125="","",データ抽出!F125)</f>
        <v/>
      </c>
      <c r="K125" s="206" t="str">
        <f>IF(C124="無し","","8-12項が「有り」の場合記入ください")</f>
        <v>8-12項が「有り」の場合記入ください</v>
      </c>
    </row>
    <row r="126" spans="1:13">
      <c r="A126" s="210" t="str">
        <f>IF(LEFT(C16,4)="ローカル","","8-14")</f>
        <v>8-14</v>
      </c>
      <c r="B126" s="65" t="str">
        <f>IF(LEFT(C16,4)="ローカル","","発電停止　通知設定　　　　　　　　　　　　　　 ※１０")</f>
        <v>発電停止　通知設定　　　　　　　　　　　　　　 ※１０</v>
      </c>
      <c r="C126" s="321" t="s">
        <v>1000</v>
      </c>
      <c r="D126" s="322"/>
      <c r="E126" s="322"/>
      <c r="F126" s="322"/>
      <c r="G126" s="322"/>
      <c r="H126" s="323"/>
      <c r="I126" s="245" t="s">
        <v>876</v>
      </c>
      <c r="J126" s="91"/>
      <c r="K126" s="432" t="str">
        <f>IF(LEFT(C16,4)="ローカル","","ローカル監視サービスは対象外です
　＊リストより選択後、任意値を希望の場合は
　　 1～100％まで 1％単位の値を入力願います
　＊PCSが2台以上の場合、同じ閾値となります")</f>
        <v>ローカル監視サービスは対象外です
　＊リストより選択後、任意値を希望の場合は
　　 1～100％まで 1％単位の値を入力願います
　＊PCSが2台以上の場合、同じ閾値となります</v>
      </c>
    </row>
    <row r="127" spans="1:13" ht="13.5" customHeight="1">
      <c r="A127" s="196" t="str">
        <f>IF(LEFT(C16,4)="ローカル","","8-15")</f>
        <v>8-15</v>
      </c>
      <c r="B127" s="53" t="str">
        <f>IF(LEFT(C16,4)="ローカル","","PCS発電量低下(日)　検知閾値（単位：％）　※１１")</f>
        <v>PCS発電量低下(日)　検知閾値（単位：％）　※１１</v>
      </c>
      <c r="C127" s="282" t="s">
        <v>1001</v>
      </c>
      <c r="D127" s="283"/>
      <c r="E127" s="283"/>
      <c r="F127" s="283"/>
      <c r="G127" s="283"/>
      <c r="H127" s="205">
        <v>60</v>
      </c>
      <c r="I127" s="240" t="s">
        <v>876</v>
      </c>
      <c r="J127" s="92" t="str">
        <f>IF(データ抽出!F126="","",データ抽出!F126)</f>
        <v/>
      </c>
      <c r="K127" s="433"/>
    </row>
    <row r="128" spans="1:13" ht="13.5" customHeight="1">
      <c r="A128" s="196" t="str">
        <f>IF(LEFT(C16,4)="ローカル","","8-16")</f>
        <v>8-16</v>
      </c>
      <c r="B128" s="53" t="str">
        <f>IF(LEFT(C16,4)="ローカル","","PCS発電量低下(月)　検知閾値（単位：％）　※１２")</f>
        <v>PCS発電量低下(月)　検知閾値（単位：％）　※１２</v>
      </c>
      <c r="C128" s="282" t="s">
        <v>1001</v>
      </c>
      <c r="D128" s="283"/>
      <c r="E128" s="283"/>
      <c r="F128" s="283"/>
      <c r="G128" s="283"/>
      <c r="H128" s="205">
        <v>60</v>
      </c>
      <c r="I128" s="240" t="s">
        <v>876</v>
      </c>
      <c r="J128" s="92" t="str">
        <f>IF(データ抽出!F127="","",データ抽出!F127)</f>
        <v/>
      </c>
      <c r="K128" s="433"/>
    </row>
    <row r="129" spans="1:11" ht="13.5" customHeight="1">
      <c r="A129" s="196" t="str">
        <f>IF(LEFT(C16,4)="ローカル","","8-17")</f>
        <v>8-17</v>
      </c>
      <c r="B129" s="53" t="str">
        <f>IF(LEFT(C16,4)="ローカル","","PCS間乖離(日)　検知閾値（単位：％）　　　　※１３")</f>
        <v>PCS間乖離(日)　検知閾値（単位：％）　　　　※１３</v>
      </c>
      <c r="C129" s="282" t="s">
        <v>1002</v>
      </c>
      <c r="D129" s="283"/>
      <c r="E129" s="283"/>
      <c r="F129" s="283"/>
      <c r="G129" s="283"/>
      <c r="H129" s="205"/>
      <c r="I129" s="240" t="s">
        <v>876</v>
      </c>
      <c r="J129" s="92" t="str">
        <f>IF(データ抽出!F129="","",データ抽出!F129)</f>
        <v/>
      </c>
      <c r="K129" s="433"/>
    </row>
    <row r="130" spans="1:11" ht="13.5" customHeight="1">
      <c r="A130" s="198" t="str">
        <f>IF(LEFT(C16,4)="ローカル","","8-18")</f>
        <v>8-18</v>
      </c>
      <c r="B130" s="66" t="str">
        <f>IF(LEFT(C16,4)="ローカル","","PCS間乖離(月)　検知閾値（単位：％）　　　　※１４")</f>
        <v>PCS間乖離(月)　検知閾値（単位：％）　　　　※１４</v>
      </c>
      <c r="C130" s="364" t="s">
        <v>1002</v>
      </c>
      <c r="D130" s="365"/>
      <c r="E130" s="365"/>
      <c r="F130" s="365"/>
      <c r="G130" s="365"/>
      <c r="H130" s="208"/>
      <c r="I130" s="244" t="s">
        <v>876</v>
      </c>
      <c r="J130" s="93" t="str">
        <f>IF(データ抽出!F130="","",データ抽出!F130)</f>
        <v/>
      </c>
      <c r="K130" s="434"/>
    </row>
    <row r="131" spans="1:11">
      <c r="A131" s="72" t="s">
        <v>253</v>
      </c>
      <c r="B131" s="67" t="s">
        <v>428</v>
      </c>
      <c r="C131" s="324" t="s">
        <v>708</v>
      </c>
      <c r="D131" s="325"/>
      <c r="E131" s="325"/>
      <c r="F131" s="325"/>
      <c r="G131" s="325"/>
      <c r="H131" s="326"/>
      <c r="I131" s="243" t="s">
        <v>876</v>
      </c>
      <c r="J131" s="105" t="str">
        <f>IF(データ抽出!F131="","",データ抽出!F131)</f>
        <v/>
      </c>
      <c r="K131" s="207" t="s">
        <v>527</v>
      </c>
    </row>
    <row r="132" spans="1:11">
      <c r="A132" s="196" t="str">
        <f>IF(C131="無し","","8-20")</f>
        <v>8-20</v>
      </c>
      <c r="B132" s="53" t="str">
        <f>IF(C131="無し","","発電所ＩＤ　※１５")</f>
        <v>発電所ＩＤ　※１５</v>
      </c>
      <c r="C132" s="327" t="s">
        <v>1003</v>
      </c>
      <c r="D132" s="328"/>
      <c r="E132" s="328"/>
      <c r="F132" s="328"/>
      <c r="G132" s="328"/>
      <c r="H132" s="329"/>
      <c r="I132" s="239" t="s">
        <v>876</v>
      </c>
      <c r="J132" s="258"/>
      <c r="K132" s="200" t="str">
        <f>IF(C131="無し","","8-19項が「有り」なら必須　半角数値２６桁")</f>
        <v>8-19項が「有り」なら必須　半角数値２６桁</v>
      </c>
    </row>
    <row r="133" spans="1:11">
      <c r="A133" s="209" t="str">
        <f>IF(C131="無し","","8-21")</f>
        <v>8-21</v>
      </c>
      <c r="B133" s="64" t="str">
        <f>IF(C131="無し","","変化レート（出力変化時間　単位：min）")</f>
        <v>変化レート（出力変化時間　単位：min）</v>
      </c>
      <c r="C133" s="435" t="s">
        <v>1004</v>
      </c>
      <c r="D133" s="436"/>
      <c r="E133" s="436"/>
      <c r="F133" s="436"/>
      <c r="G133" s="436"/>
      <c r="H133" s="437"/>
      <c r="I133" s="241" t="s">
        <v>876</v>
      </c>
      <c r="J133" s="104" t="str">
        <f>IF(データ抽出!F133="","",データ抽出!F133)</f>
        <v/>
      </c>
      <c r="K133" s="112" t="str">
        <f>IF(C131="無し","","8-19項が「有り」なら必須　リストより選択")</f>
        <v>8-19項が「有り」なら必須　リストより選択</v>
      </c>
    </row>
    <row r="134" spans="1:11">
      <c r="A134" s="70" t="s">
        <v>256</v>
      </c>
      <c r="B134" s="65" t="s">
        <v>565</v>
      </c>
      <c r="C134" s="438" t="s">
        <v>709</v>
      </c>
      <c r="D134" s="439"/>
      <c r="E134" s="439"/>
      <c r="F134" s="439"/>
      <c r="G134" s="439"/>
      <c r="H134" s="440"/>
      <c r="I134" s="245" t="s">
        <v>876</v>
      </c>
      <c r="J134" s="91" t="str">
        <f>IF(データ抽出!F134="","",データ抽出!F134)</f>
        <v/>
      </c>
      <c r="K134" s="113" t="s">
        <v>528</v>
      </c>
    </row>
    <row r="135" spans="1:11">
      <c r="A135" s="52" t="s">
        <v>257</v>
      </c>
      <c r="B135" s="53" t="s">
        <v>566</v>
      </c>
      <c r="C135" s="358" t="s">
        <v>1005</v>
      </c>
      <c r="D135" s="359"/>
      <c r="E135" s="359"/>
      <c r="F135" s="359"/>
      <c r="G135" s="359"/>
      <c r="H135" s="360"/>
      <c r="I135" s="253" t="s">
        <v>944</v>
      </c>
      <c r="J135" s="92" t="str">
        <f>IF(データ抽出!F135="","",データ抽出!F135)</f>
        <v/>
      </c>
      <c r="K135" s="63" t="s">
        <v>884</v>
      </c>
    </row>
    <row r="136" spans="1:11">
      <c r="A136" s="52" t="s">
        <v>258</v>
      </c>
      <c r="B136" s="53" t="s">
        <v>875</v>
      </c>
      <c r="C136" s="225" t="s">
        <v>867</v>
      </c>
      <c r="D136" s="256">
        <v>50</v>
      </c>
      <c r="E136" s="226" t="s">
        <v>869</v>
      </c>
      <c r="F136" s="255">
        <v>5</v>
      </c>
      <c r="G136" s="226" t="s">
        <v>868</v>
      </c>
      <c r="H136" s="255">
        <v>10</v>
      </c>
      <c r="I136" s="454" t="str">
        <f>IF(データ抽出!E136="","",データ抽出!E136)</f>
        <v>必須／任意</v>
      </c>
      <c r="J136" s="455"/>
      <c r="K136" s="63" t="s">
        <v>931</v>
      </c>
    </row>
    <row r="137" spans="1:11">
      <c r="A137" s="52" t="s">
        <v>259</v>
      </c>
      <c r="B137" s="101" t="s">
        <v>847</v>
      </c>
      <c r="C137" s="441">
        <v>1</v>
      </c>
      <c r="D137" s="442"/>
      <c r="E137" s="442"/>
      <c r="F137" s="442"/>
      <c r="G137" s="442"/>
      <c r="H137" s="443"/>
      <c r="I137" s="240" t="str">
        <f>IF(データ抽出!E137="","",データ抽出!E137)</f>
        <v/>
      </c>
      <c r="J137" s="92" t="str">
        <f>IF(データ抽出!F137="","",データ抽出!F137)</f>
        <v/>
      </c>
      <c r="K137" s="63" t="s">
        <v>874</v>
      </c>
    </row>
    <row r="138" spans="1:11">
      <c r="A138" s="198" t="str">
        <f>IF(C$131="無し","","8-26")</f>
        <v>8-26</v>
      </c>
      <c r="B138" s="66" t="str">
        <f>IF(C$131="無し","","通信ID 1　PCS毎の出力制御設定　※１８")</f>
        <v>通信ID 1　PCS毎の出力制御設定　※１８</v>
      </c>
      <c r="C138" s="291" t="s">
        <v>1035</v>
      </c>
      <c r="D138" s="292"/>
      <c r="E138" s="292"/>
      <c r="F138" s="292"/>
      <c r="G138" s="292"/>
      <c r="H138" s="293"/>
      <c r="I138" s="244" t="s">
        <v>876</v>
      </c>
      <c r="J138" s="93" t="str">
        <f>IF(データ抽出!F138="","",データ抽出!F138)</f>
        <v/>
      </c>
      <c r="K138" s="114" t="str">
        <f>IF(A138="","","リストより選択")</f>
        <v>リストより選択</v>
      </c>
    </row>
    <row r="139" spans="1:11">
      <c r="A139" s="197" t="str">
        <f>IF(C$123&lt;2,"","8-27")</f>
        <v>8-27</v>
      </c>
      <c r="B139" s="67" t="str">
        <f>IF(C$123&lt;2,"","通信ID 2　PCS型名")</f>
        <v>通信ID 2　PCS型名</v>
      </c>
      <c r="C139" s="438" t="s">
        <v>709</v>
      </c>
      <c r="D139" s="439"/>
      <c r="E139" s="439"/>
      <c r="F139" s="439"/>
      <c r="G139" s="439"/>
      <c r="H139" s="440"/>
      <c r="I139" s="245" t="s">
        <v>876</v>
      </c>
      <c r="J139" s="91" t="str">
        <f>IF(データ抽出!F139="","",データ抽出!F139)</f>
        <v/>
      </c>
      <c r="K139" s="113" t="str">
        <f>IF(A139="","","リストより選択　オプション部分の型名は問いません")</f>
        <v>リストより選択　オプション部分の型名は問いません</v>
      </c>
    </row>
    <row r="140" spans="1:11">
      <c r="A140" s="196" t="str">
        <f>IF(C$123&lt;2,"","8-28")</f>
        <v>8-28</v>
      </c>
      <c r="B140" s="53" t="str">
        <f>IF(C$123&lt;2,"","通信ID 2　PCS製造番号")</f>
        <v>通信ID 2　PCS製造番号</v>
      </c>
      <c r="C140" s="282" t="s">
        <v>1006</v>
      </c>
      <c r="D140" s="283"/>
      <c r="E140" s="283"/>
      <c r="F140" s="283"/>
      <c r="G140" s="283"/>
      <c r="H140" s="284"/>
      <c r="I140" s="253" t="str">
        <f>IF(B140="","",IF(データ抽出!E140="","",データ抽出!E140))</f>
        <v>任意</v>
      </c>
      <c r="J140" s="92" t="str">
        <f>IF(データ抽出!F140="","",データ抽出!F140)</f>
        <v/>
      </c>
      <c r="K140" s="63" t="str">
        <f>IF(A140="","","設置前等で不明な場合を除き、登録願います")</f>
        <v>設置前等で不明な場合を除き、登録願います</v>
      </c>
    </row>
    <row r="141" spans="1:11">
      <c r="A141" s="196" t="str">
        <f>IF(C$123&lt;2,"","8-29")</f>
        <v>8-29</v>
      </c>
      <c r="B141" s="53" t="str">
        <f>IF(C$123&lt;2,"","通信ID 2　接続パネル合計枚数、直・並列枚数")</f>
        <v>通信ID 2　接続パネル合計枚数、直・並列枚数</v>
      </c>
      <c r="C141" s="225" t="str">
        <f t="shared" ref="C141" si="2">IF($B141="","","合計枚数：")</f>
        <v>合計枚数：</v>
      </c>
      <c r="D141" s="254">
        <v>50</v>
      </c>
      <c r="E141" s="226" t="str">
        <f t="shared" ref="E141" si="3">IF($B141="","","直列枚数：")</f>
        <v>直列枚数：</v>
      </c>
      <c r="F141" s="254">
        <v>5</v>
      </c>
      <c r="G141" s="226" t="str">
        <f t="shared" ref="G141" si="4">IF($B141="","","並列枚数：")</f>
        <v>並列枚数：</v>
      </c>
      <c r="H141" s="254">
        <v>10</v>
      </c>
      <c r="I141" s="454" t="str">
        <f>IF(B141="","",IF(データ抽出!E141="","",データ抽出!E141))</f>
        <v>必須／任意</v>
      </c>
      <c r="J141" s="455"/>
      <c r="K141" s="63" t="str">
        <f>IF(A141="","","必須以外の場合も、より正確な監視のために登録をお勧めします")</f>
        <v>必須以外の場合も、より正確な監視のために登録をお勧めします</v>
      </c>
    </row>
    <row r="142" spans="1:11">
      <c r="A142" s="196" t="str">
        <f>IF(C$123&lt;2,"","8-30")</f>
        <v>8-30</v>
      </c>
      <c r="B142" s="53" t="str">
        <f>IF(C$123&lt;2,"","通信ID 2　発電所区画No　※１７")</f>
        <v>通信ID 2　発電所区画No　※１７</v>
      </c>
      <c r="C142" s="282">
        <v>1</v>
      </c>
      <c r="D142" s="283"/>
      <c r="E142" s="283"/>
      <c r="F142" s="283"/>
      <c r="G142" s="283"/>
      <c r="H142" s="284"/>
      <c r="I142" s="240" t="s">
        <v>876</v>
      </c>
      <c r="J142" s="92" t="str">
        <f>IF(C142="","",IF(データ抽出!F142="","",データ抽出!F142))</f>
        <v/>
      </c>
      <c r="K142" s="63" t="str">
        <f>IF(A142="","","5項［発電所情報］の区画番号（1～8）を記入ください")</f>
        <v>5項［発電所情報］の区画番号（1～8）を記入ください</v>
      </c>
    </row>
    <row r="143" spans="1:11">
      <c r="A143" s="209" t="str">
        <f>IF(C$123&lt;2,"",IF(C$131="無し","","8-31"))</f>
        <v>8-31</v>
      </c>
      <c r="B143" s="64" t="str">
        <f>IF(C$123&lt;2,"",IF(C$131="無し","","通信ID 2　PCS毎の出力制御設定　※１８"))</f>
        <v>通信ID 2　PCS毎の出力制御設定　※１８</v>
      </c>
      <c r="C143" s="291" t="s">
        <v>1035</v>
      </c>
      <c r="D143" s="292"/>
      <c r="E143" s="292"/>
      <c r="F143" s="292"/>
      <c r="G143" s="292"/>
      <c r="H143" s="293"/>
      <c r="I143" s="244" t="s">
        <v>876</v>
      </c>
      <c r="J143" s="93" t="str">
        <f>IF(データ抽出!F143="","",データ抽出!F143)</f>
        <v/>
      </c>
      <c r="K143" s="114" t="str">
        <f>IF(A143="","","リストより選択")</f>
        <v>リストより選択</v>
      </c>
    </row>
    <row r="144" spans="1:11">
      <c r="A144" s="210" t="str">
        <f>IF(C$123&lt;3,"","8-32")</f>
        <v>8-32</v>
      </c>
      <c r="B144" s="65" t="str">
        <f>IF(C$123&lt;3,"","通信ID 3　PCS型名")</f>
        <v>通信ID 3　PCS型名</v>
      </c>
      <c r="C144" s="438" t="s">
        <v>709</v>
      </c>
      <c r="D144" s="439"/>
      <c r="E144" s="439"/>
      <c r="F144" s="439"/>
      <c r="G144" s="439"/>
      <c r="H144" s="440"/>
      <c r="I144" s="245" t="s">
        <v>876</v>
      </c>
      <c r="J144" s="91" t="str">
        <f>IF(データ抽出!F144="","",データ抽出!F144)</f>
        <v/>
      </c>
      <c r="K144" s="113" t="str">
        <f>IF(A144="","","リストより選択　オプション部分の型名は問いません")</f>
        <v>リストより選択　オプション部分の型名は問いません</v>
      </c>
    </row>
    <row r="145" spans="1:11">
      <c r="A145" s="196" t="str">
        <f>IF(C$123&lt;3,"","8-33")</f>
        <v>8-33</v>
      </c>
      <c r="B145" s="53" t="str">
        <f>IF(C$123&lt;3,"","通信ID 3　PCS製造番号")</f>
        <v>通信ID 3　PCS製造番号</v>
      </c>
      <c r="C145" s="282" t="s">
        <v>1007</v>
      </c>
      <c r="D145" s="283"/>
      <c r="E145" s="283"/>
      <c r="F145" s="283"/>
      <c r="G145" s="283"/>
      <c r="H145" s="284"/>
      <c r="I145" s="253" t="str">
        <f>IF(B145="","",IF(データ抽出!E145="","",データ抽出!E145))</f>
        <v>任意</v>
      </c>
      <c r="J145" s="92" t="str">
        <f>IF(データ抽出!F145="","",データ抽出!F145)</f>
        <v/>
      </c>
      <c r="K145" s="63" t="str">
        <f>IF(A145="","","設置前等で不明な場合を除き、登録願います")</f>
        <v>設置前等で不明な場合を除き、登録願います</v>
      </c>
    </row>
    <row r="146" spans="1:11">
      <c r="A146" s="196" t="str">
        <f>IF(C$123&lt;3,"","8-34")</f>
        <v>8-34</v>
      </c>
      <c r="B146" s="53" t="str">
        <f>IF(C$123&lt;3,"","通信ID 3　接続パネル合計枚数、直・並列枚数")</f>
        <v>通信ID 3　接続パネル合計枚数、直・並列枚数</v>
      </c>
      <c r="C146" s="225" t="str">
        <f t="shared" ref="C146" si="5">IF($B146="","","合計枚数：")</f>
        <v>合計枚数：</v>
      </c>
      <c r="D146" s="254">
        <v>50</v>
      </c>
      <c r="E146" s="226" t="str">
        <f t="shared" ref="E146" si="6">IF($B146="","","直列枚数：")</f>
        <v>直列枚数：</v>
      </c>
      <c r="F146" s="254">
        <v>5</v>
      </c>
      <c r="G146" s="226" t="str">
        <f t="shared" ref="G146" si="7">IF($B146="","","並列枚数：")</f>
        <v>並列枚数：</v>
      </c>
      <c r="H146" s="254">
        <v>10</v>
      </c>
      <c r="I146" s="454" t="str">
        <f>IF(B146="","",IF(データ抽出!E146="","",データ抽出!E146))</f>
        <v>必須／任意</v>
      </c>
      <c r="J146" s="455"/>
      <c r="K146" s="63" t="str">
        <f>IF(A146="","","必須以外の場合も、より正確な監視のために登録をお勧めします")</f>
        <v>必須以外の場合も、より正確な監視のために登録をお勧めします</v>
      </c>
    </row>
    <row r="147" spans="1:11">
      <c r="A147" s="196" t="str">
        <f>IF(C$123&lt;3,"","8-35")</f>
        <v>8-35</v>
      </c>
      <c r="B147" s="53" t="str">
        <f>IF(C$123&lt;3,"","通信ID 3　発電所区画No　※１７")</f>
        <v>通信ID 3　発電所区画No　※１７</v>
      </c>
      <c r="C147" s="282">
        <v>1</v>
      </c>
      <c r="D147" s="283"/>
      <c r="E147" s="283"/>
      <c r="F147" s="283"/>
      <c r="G147" s="283"/>
      <c r="H147" s="284"/>
      <c r="I147" s="240" t="s">
        <v>876</v>
      </c>
      <c r="J147" s="92" t="str">
        <f>IF(C147="","",IF(データ抽出!F147="","",データ抽出!F147))</f>
        <v/>
      </c>
      <c r="K147" s="63" t="str">
        <f>IF(A147="","","5項［発電所情報］の区画番号（1～8）を記入ください")</f>
        <v>5項［発電所情報］の区画番号（1～8）を記入ください</v>
      </c>
    </row>
    <row r="148" spans="1:11">
      <c r="A148" s="198" t="str">
        <f>IF(C$123&lt;3,"",IF(C$131="無し","","8-36"))</f>
        <v>8-36</v>
      </c>
      <c r="B148" s="66" t="str">
        <f>IF(C$123&lt;3,"",IF(C$131="無し","","通信ID 3　PCS毎の出力制御設定　※１８"))</f>
        <v>通信ID 3　PCS毎の出力制御設定　※１８</v>
      </c>
      <c r="C148" s="291" t="s">
        <v>1035</v>
      </c>
      <c r="D148" s="292"/>
      <c r="E148" s="292"/>
      <c r="F148" s="292"/>
      <c r="G148" s="292"/>
      <c r="H148" s="293"/>
      <c r="I148" s="244" t="s">
        <v>876</v>
      </c>
      <c r="J148" s="93" t="str">
        <f>IF(データ抽出!F148="","",データ抽出!F148)</f>
        <v/>
      </c>
      <c r="K148" s="114" t="str">
        <f>IF(A148="","","リストより選択")</f>
        <v>リストより選択</v>
      </c>
    </row>
    <row r="149" spans="1:11">
      <c r="A149" s="197" t="str">
        <f>IF(C$123&lt;4,"","8-37")</f>
        <v>8-37</v>
      </c>
      <c r="B149" s="67" t="str">
        <f>IF(C$123&lt;4,"","通信ID 4　PCS型名")</f>
        <v>通信ID 4　PCS型名</v>
      </c>
      <c r="C149" s="438" t="s">
        <v>709</v>
      </c>
      <c r="D149" s="439"/>
      <c r="E149" s="439"/>
      <c r="F149" s="439"/>
      <c r="G149" s="439"/>
      <c r="H149" s="440"/>
      <c r="I149" s="245" t="s">
        <v>876</v>
      </c>
      <c r="J149" s="91" t="str">
        <f>IF(データ抽出!F149="","",データ抽出!F149)</f>
        <v/>
      </c>
      <c r="K149" s="113" t="str">
        <f>IF(A149="","","リストより選択　オプション部分の型名は問いません")</f>
        <v>リストより選択　オプション部分の型名は問いません</v>
      </c>
    </row>
    <row r="150" spans="1:11">
      <c r="A150" s="196" t="str">
        <f>IF(C$123&lt;4,"","8-38")</f>
        <v>8-38</v>
      </c>
      <c r="B150" s="53" t="str">
        <f>IF(C$123&lt;4,"","通信ID 4　PCS製造番号")</f>
        <v>通信ID 4　PCS製造番号</v>
      </c>
      <c r="C150" s="282" t="s">
        <v>1008</v>
      </c>
      <c r="D150" s="283"/>
      <c r="E150" s="283"/>
      <c r="F150" s="283"/>
      <c r="G150" s="283"/>
      <c r="H150" s="284"/>
      <c r="I150" s="253" t="str">
        <f>IF(B150="","",IF(データ抽出!E150="","",データ抽出!E150))</f>
        <v>任意</v>
      </c>
      <c r="J150" s="92" t="str">
        <f>IF(データ抽出!F150="","",データ抽出!F150)</f>
        <v/>
      </c>
      <c r="K150" s="63" t="str">
        <f>IF(A150="","","設置前等で不明な場合を除き、登録願います")</f>
        <v>設置前等で不明な場合を除き、登録願います</v>
      </c>
    </row>
    <row r="151" spans="1:11">
      <c r="A151" s="196" t="str">
        <f>IF(C$123&lt;4,"","8-39")</f>
        <v>8-39</v>
      </c>
      <c r="B151" s="53" t="str">
        <f>IF(C$123&lt;4,"","通信ID 4　接続パネル合計枚数、直・並列枚数")</f>
        <v>通信ID 4　接続パネル合計枚数、直・並列枚数</v>
      </c>
      <c r="C151" s="225" t="str">
        <f t="shared" ref="C151:C211" si="8">IF($B151="","","合計枚数：")</f>
        <v>合計枚数：</v>
      </c>
      <c r="D151" s="254">
        <v>50</v>
      </c>
      <c r="E151" s="226" t="str">
        <f t="shared" ref="E151:E211" si="9">IF($B151="","","直列枚数：")</f>
        <v>直列枚数：</v>
      </c>
      <c r="F151" s="254">
        <v>5</v>
      </c>
      <c r="G151" s="226" t="str">
        <f t="shared" ref="G151:G211" si="10">IF($B151="","","並列枚数：")</f>
        <v>並列枚数：</v>
      </c>
      <c r="H151" s="254">
        <v>10</v>
      </c>
      <c r="I151" s="454" t="str">
        <f>IF(B151="","",IF(データ抽出!E151="","",データ抽出!E151))</f>
        <v>必須／任意</v>
      </c>
      <c r="J151" s="455"/>
      <c r="K151" s="63" t="str">
        <f>IF(A151="","","必須以外の場合も、より正確な監視のために登録をお勧めします")</f>
        <v>必須以外の場合も、より正確な監視のために登録をお勧めします</v>
      </c>
    </row>
    <row r="152" spans="1:11">
      <c r="A152" s="196" t="str">
        <f>IF(C$123&lt;4,"","8-40")</f>
        <v>8-40</v>
      </c>
      <c r="B152" s="53" t="str">
        <f>IF(C$123&lt;4,"","通信ID 4　発電所区画No　※１７")</f>
        <v>通信ID 4　発電所区画No　※１７</v>
      </c>
      <c r="C152" s="282">
        <v>1</v>
      </c>
      <c r="D152" s="283"/>
      <c r="E152" s="283"/>
      <c r="F152" s="283"/>
      <c r="G152" s="283"/>
      <c r="H152" s="284"/>
      <c r="I152" s="240" t="s">
        <v>876</v>
      </c>
      <c r="J152" s="92" t="str">
        <f>IF(C152="","",IF(データ抽出!F152="","",データ抽出!F152))</f>
        <v/>
      </c>
      <c r="K152" s="63" t="str">
        <f>IF(A152="","","5項［発電所情報］の区画番号（1～8）を記入ください")</f>
        <v>5項［発電所情報］の区画番号（1～8）を記入ください</v>
      </c>
    </row>
    <row r="153" spans="1:11">
      <c r="A153" s="209" t="str">
        <f>IF(C$123&lt;4,"",IF(C$131="無し","","8-41"))</f>
        <v>8-41</v>
      </c>
      <c r="B153" s="64" t="str">
        <f>IF(C$123&lt;4,"",IF(C$131="無し","","通信ID 4　PCS毎の出力制御設定　※１８"))</f>
        <v>通信ID 4　PCS毎の出力制御設定　※１８</v>
      </c>
      <c r="C153" s="291" t="s">
        <v>1035</v>
      </c>
      <c r="D153" s="292"/>
      <c r="E153" s="292"/>
      <c r="F153" s="292"/>
      <c r="G153" s="292"/>
      <c r="H153" s="293"/>
      <c r="I153" s="244" t="s">
        <v>876</v>
      </c>
      <c r="J153" s="93" t="str">
        <f>IF(データ抽出!F153="","",データ抽出!F153)</f>
        <v/>
      </c>
      <c r="K153" s="114" t="str">
        <f>IF(A153="","","リストより選択")</f>
        <v>リストより選択</v>
      </c>
    </row>
    <row r="154" spans="1:11">
      <c r="A154" s="210" t="str">
        <f>IF(C$123&lt;5,"","8-42")</f>
        <v>8-42</v>
      </c>
      <c r="B154" s="65" t="str">
        <f>IF(C$123&lt;5,"","通信ID 5　PCS型名")</f>
        <v>通信ID 5　PCS型名</v>
      </c>
      <c r="C154" s="438" t="s">
        <v>709</v>
      </c>
      <c r="D154" s="439"/>
      <c r="E154" s="439"/>
      <c r="F154" s="439"/>
      <c r="G154" s="439"/>
      <c r="H154" s="440"/>
      <c r="I154" s="245" t="s">
        <v>876</v>
      </c>
      <c r="J154" s="91" t="str">
        <f>IF(データ抽出!F154="","",データ抽出!F154)</f>
        <v/>
      </c>
      <c r="K154" s="113" t="str">
        <f>IF(A154="","","リストより選択　オプション部分の型名は問いません")</f>
        <v>リストより選択　オプション部分の型名は問いません</v>
      </c>
    </row>
    <row r="155" spans="1:11">
      <c r="A155" s="196" t="str">
        <f>IF(C$123&lt;5,"","8-43")</f>
        <v>8-43</v>
      </c>
      <c r="B155" s="53" t="str">
        <f>IF(C$123&lt;5,"","通信ID 5　PCS製造番号")</f>
        <v>通信ID 5　PCS製造番号</v>
      </c>
      <c r="C155" s="282" t="s">
        <v>1009</v>
      </c>
      <c r="D155" s="283"/>
      <c r="E155" s="283"/>
      <c r="F155" s="283"/>
      <c r="G155" s="283"/>
      <c r="H155" s="284"/>
      <c r="I155" s="253" t="str">
        <f>IF(B155="","",IF(データ抽出!E155="","",データ抽出!E155))</f>
        <v>任意</v>
      </c>
      <c r="J155" s="92" t="str">
        <f>IF(データ抽出!F155="","",データ抽出!F155)</f>
        <v/>
      </c>
      <c r="K155" s="63" t="str">
        <f>IF(A155="","","設置前等で不明な場合を除き、登録願います")</f>
        <v>設置前等で不明な場合を除き、登録願います</v>
      </c>
    </row>
    <row r="156" spans="1:11">
      <c r="A156" s="196" t="str">
        <f>IF(C$123&lt;5,"","8-44")</f>
        <v>8-44</v>
      </c>
      <c r="B156" s="53" t="str">
        <f>IF(C$123&lt;5,"","通信ID 5　接続パネル合計枚数、直・並列枚数")</f>
        <v>通信ID 5　接続パネル合計枚数、直・並列枚数</v>
      </c>
      <c r="C156" s="225" t="str">
        <f t="shared" si="8"/>
        <v>合計枚数：</v>
      </c>
      <c r="D156" s="254">
        <v>50</v>
      </c>
      <c r="E156" s="226" t="str">
        <f t="shared" si="9"/>
        <v>直列枚数：</v>
      </c>
      <c r="F156" s="254">
        <v>5</v>
      </c>
      <c r="G156" s="226" t="str">
        <f t="shared" si="10"/>
        <v>並列枚数：</v>
      </c>
      <c r="H156" s="254">
        <v>10</v>
      </c>
      <c r="I156" s="454" t="str">
        <f>IF(B156="","",IF(データ抽出!E156="","",データ抽出!E156))</f>
        <v>必須／任意</v>
      </c>
      <c r="J156" s="455"/>
      <c r="K156" s="63" t="str">
        <f>IF(A156="","","必須以外の場合も、より正確な監視のために登録をお勧めします")</f>
        <v>必須以外の場合も、より正確な監視のために登録をお勧めします</v>
      </c>
    </row>
    <row r="157" spans="1:11">
      <c r="A157" s="196" t="str">
        <f>IF(C$123&lt;5,"","8-45")</f>
        <v>8-45</v>
      </c>
      <c r="B157" s="53" t="str">
        <f>IF(C$123&lt;5,"","通信ID 5　発電所区画No　※１７")</f>
        <v>通信ID 5　発電所区画No　※１７</v>
      </c>
      <c r="C157" s="282">
        <v>2</v>
      </c>
      <c r="D157" s="283"/>
      <c r="E157" s="283"/>
      <c r="F157" s="283"/>
      <c r="G157" s="283"/>
      <c r="H157" s="284"/>
      <c r="I157" s="240" t="s">
        <v>876</v>
      </c>
      <c r="J157" s="92" t="str">
        <f>IF(C157="","",IF(データ抽出!F157="","",データ抽出!F157))</f>
        <v/>
      </c>
      <c r="K157" s="63" t="str">
        <f>IF(A157="","","5項［発電所情報］の区画番号（1～8）を記入ください")</f>
        <v>5項［発電所情報］の区画番号（1～8）を記入ください</v>
      </c>
    </row>
    <row r="158" spans="1:11">
      <c r="A158" s="198" t="str">
        <f>IF(C$123&lt;5,"",IF(C$131="無し","","8-46"))</f>
        <v>8-46</v>
      </c>
      <c r="B158" s="66" t="str">
        <f>IF(C$123&lt;5,"",IF(C$131="無し","","通信ID 5　PCS毎の出力制御設定　※１８"))</f>
        <v>通信ID 5　PCS毎の出力制御設定　※１８</v>
      </c>
      <c r="C158" s="291" t="s">
        <v>1035</v>
      </c>
      <c r="D158" s="292"/>
      <c r="E158" s="292"/>
      <c r="F158" s="292"/>
      <c r="G158" s="292"/>
      <c r="H158" s="293"/>
      <c r="I158" s="244" t="s">
        <v>876</v>
      </c>
      <c r="J158" s="93" t="str">
        <f>IF(データ抽出!F158="","",データ抽出!F158)</f>
        <v/>
      </c>
      <c r="K158" s="114" t="str">
        <f>IF(A158="","","リストより選択")</f>
        <v>リストより選択</v>
      </c>
    </row>
    <row r="159" spans="1:11">
      <c r="A159" s="210" t="str">
        <f>IF(C$123&lt;6,"","8-47")</f>
        <v>8-47</v>
      </c>
      <c r="B159" s="65" t="str">
        <f>IF(C$123&lt;6,"","通信ID 6　PCS型名")</f>
        <v>通信ID 6　PCS型名</v>
      </c>
      <c r="C159" s="438" t="s">
        <v>709</v>
      </c>
      <c r="D159" s="439"/>
      <c r="E159" s="439"/>
      <c r="F159" s="439"/>
      <c r="G159" s="439"/>
      <c r="H159" s="440"/>
      <c r="I159" s="245" t="s">
        <v>876</v>
      </c>
      <c r="J159" s="91" t="str">
        <f>IF(データ抽出!F159="","",データ抽出!F159)</f>
        <v/>
      </c>
      <c r="K159" s="113" t="str">
        <f>IF(A159="","","リストより選択　オプション部分の型名は問いません")</f>
        <v>リストより選択　オプション部分の型名は問いません</v>
      </c>
    </row>
    <row r="160" spans="1:11">
      <c r="A160" s="196" t="str">
        <f>IF(C$123&lt;6,"","8-48")</f>
        <v>8-48</v>
      </c>
      <c r="B160" s="53" t="str">
        <f>IF(C$123&lt;6,"","通信ID 6　PCS製造番号")</f>
        <v>通信ID 6　PCS製造番号</v>
      </c>
      <c r="C160" s="282" t="s">
        <v>1010</v>
      </c>
      <c r="D160" s="283"/>
      <c r="E160" s="283"/>
      <c r="F160" s="283"/>
      <c r="G160" s="283"/>
      <c r="H160" s="284"/>
      <c r="I160" s="253" t="str">
        <f>IF(B160="","",IF(データ抽出!E160="","",データ抽出!E160))</f>
        <v>任意</v>
      </c>
      <c r="J160" s="92" t="str">
        <f>IF(データ抽出!F160="","",データ抽出!F160)</f>
        <v/>
      </c>
      <c r="K160" s="63" t="str">
        <f>IF(A160="","","設置前等で不明な場合を除き、登録願います")</f>
        <v>設置前等で不明な場合を除き、登録願います</v>
      </c>
    </row>
    <row r="161" spans="1:11">
      <c r="A161" s="196" t="str">
        <f>IF(C$123&lt;6,"","8-49")</f>
        <v>8-49</v>
      </c>
      <c r="B161" s="53" t="str">
        <f>IF(C$123&lt;6,"","通信ID 6　接続パネル合計枚数、直・並列枚数")</f>
        <v>通信ID 6　接続パネル合計枚数、直・並列枚数</v>
      </c>
      <c r="C161" s="225" t="str">
        <f t="shared" si="8"/>
        <v>合計枚数：</v>
      </c>
      <c r="D161" s="254">
        <v>50</v>
      </c>
      <c r="E161" s="226" t="str">
        <f t="shared" si="9"/>
        <v>直列枚数：</v>
      </c>
      <c r="F161" s="254">
        <v>5</v>
      </c>
      <c r="G161" s="226" t="str">
        <f t="shared" si="10"/>
        <v>並列枚数：</v>
      </c>
      <c r="H161" s="254">
        <v>10</v>
      </c>
      <c r="I161" s="454" t="str">
        <f>IF(B161="","",IF(データ抽出!E161="","",データ抽出!E161))</f>
        <v>必須／任意</v>
      </c>
      <c r="J161" s="455"/>
      <c r="K161" s="63" t="str">
        <f>IF(A161="","","必須以外の場合も、より正確な監視のために登録をお勧めします")</f>
        <v>必須以外の場合も、より正確な監視のために登録をお勧めします</v>
      </c>
    </row>
    <row r="162" spans="1:11">
      <c r="A162" s="196" t="str">
        <f>IF(C$123&lt;6,"","8-50")</f>
        <v>8-50</v>
      </c>
      <c r="B162" s="53" t="str">
        <f>IF(C$123&lt;6,"","通信ID 6　発電所区画No　※１７")</f>
        <v>通信ID 6　発電所区画No　※１７</v>
      </c>
      <c r="C162" s="282">
        <v>2</v>
      </c>
      <c r="D162" s="283"/>
      <c r="E162" s="283"/>
      <c r="F162" s="283"/>
      <c r="G162" s="283"/>
      <c r="H162" s="284"/>
      <c r="I162" s="240" t="s">
        <v>876</v>
      </c>
      <c r="J162" s="92" t="str">
        <f>IF(C162="","",IF(データ抽出!F162="","",データ抽出!F162))</f>
        <v/>
      </c>
      <c r="K162" s="63" t="str">
        <f>IF(A162="","","5項［発電所情報］の区画番号（1～8）を記入ください")</f>
        <v>5項［発電所情報］の区画番号（1～8）を記入ください</v>
      </c>
    </row>
    <row r="163" spans="1:11">
      <c r="A163" s="209" t="str">
        <f>IF(C$123&lt;6,"",IF(C$131="無し","","8-51"))</f>
        <v>8-51</v>
      </c>
      <c r="B163" s="64" t="str">
        <f>IF(C$123&lt;6,"",IF(C$131="無し","","通信ID 6　PCS毎の出力制御設定　※１８"))</f>
        <v>通信ID 6　PCS毎の出力制御設定　※１８</v>
      </c>
      <c r="C163" s="291" t="s">
        <v>1035</v>
      </c>
      <c r="D163" s="292"/>
      <c r="E163" s="292"/>
      <c r="F163" s="292"/>
      <c r="G163" s="292"/>
      <c r="H163" s="293"/>
      <c r="I163" s="244" t="s">
        <v>876</v>
      </c>
      <c r="J163" s="93" t="str">
        <f>IF(データ抽出!F163="","",データ抽出!F163)</f>
        <v/>
      </c>
      <c r="K163" s="114" t="str">
        <f>IF(A163="","","リストより選択")</f>
        <v>リストより選択</v>
      </c>
    </row>
    <row r="164" spans="1:11">
      <c r="A164" s="210" t="str">
        <f>IF(C$123&lt;7,"","8-52")</f>
        <v>8-52</v>
      </c>
      <c r="B164" s="65" t="str">
        <f>IF(C$123&lt;7,"","通信ID 7　PCS型名")</f>
        <v>通信ID 7　PCS型名</v>
      </c>
      <c r="C164" s="438" t="s">
        <v>709</v>
      </c>
      <c r="D164" s="439"/>
      <c r="E164" s="439"/>
      <c r="F164" s="439"/>
      <c r="G164" s="439"/>
      <c r="H164" s="440"/>
      <c r="I164" s="245" t="s">
        <v>876</v>
      </c>
      <c r="J164" s="91" t="str">
        <f>IF(データ抽出!F164="","",データ抽出!F164)</f>
        <v/>
      </c>
      <c r="K164" s="113" t="str">
        <f>IF(A164="","","リストより選択　オプション部分の型名は問いません")</f>
        <v>リストより選択　オプション部分の型名は問いません</v>
      </c>
    </row>
    <row r="165" spans="1:11">
      <c r="A165" s="196" t="str">
        <f>IF(C$123&lt;7,"","8-53")</f>
        <v>8-53</v>
      </c>
      <c r="B165" s="53" t="str">
        <f>IF(C$123&lt;7,"","通信ID 7　PCS製造番号")</f>
        <v>通信ID 7　PCS製造番号</v>
      </c>
      <c r="C165" s="282" t="s">
        <v>1011</v>
      </c>
      <c r="D165" s="283"/>
      <c r="E165" s="283"/>
      <c r="F165" s="283"/>
      <c r="G165" s="283"/>
      <c r="H165" s="284"/>
      <c r="I165" s="253" t="str">
        <f>IF(B165="","",IF(データ抽出!E165="","",データ抽出!E165))</f>
        <v>任意</v>
      </c>
      <c r="J165" s="92" t="str">
        <f>IF(データ抽出!F165="","",データ抽出!F165)</f>
        <v/>
      </c>
      <c r="K165" s="63" t="str">
        <f>IF(A165="","","設置前等で不明な場合を除き、登録願います")</f>
        <v>設置前等で不明な場合を除き、登録願います</v>
      </c>
    </row>
    <row r="166" spans="1:11">
      <c r="A166" s="196" t="str">
        <f>IF(C$123&lt;7,"","8-54")</f>
        <v>8-54</v>
      </c>
      <c r="B166" s="53" t="str">
        <f>IF(C$123&lt;7,"","通信ID 7　接続パネル合計枚数、直・並列枚数")</f>
        <v>通信ID 7　接続パネル合計枚数、直・並列枚数</v>
      </c>
      <c r="C166" s="225" t="str">
        <f t="shared" si="8"/>
        <v>合計枚数：</v>
      </c>
      <c r="D166" s="254">
        <v>50</v>
      </c>
      <c r="E166" s="226" t="str">
        <f t="shared" si="9"/>
        <v>直列枚数：</v>
      </c>
      <c r="F166" s="254">
        <v>5</v>
      </c>
      <c r="G166" s="226" t="str">
        <f t="shared" si="10"/>
        <v>並列枚数：</v>
      </c>
      <c r="H166" s="254">
        <v>10</v>
      </c>
      <c r="I166" s="454" t="str">
        <f>IF(B166="","",IF(データ抽出!E166="","",データ抽出!E166))</f>
        <v>必須／任意</v>
      </c>
      <c r="J166" s="455"/>
      <c r="K166" s="63" t="str">
        <f>IF(A166="","","必須以外の場合も、より正確な監視のために登録をお勧めします")</f>
        <v>必須以外の場合も、より正確な監視のために登録をお勧めします</v>
      </c>
    </row>
    <row r="167" spans="1:11">
      <c r="A167" s="196" t="str">
        <f>IF(C$123&lt;7,"","8-55")</f>
        <v>8-55</v>
      </c>
      <c r="B167" s="53" t="str">
        <f>IF(C$123&lt;7,"","通信ID 7　発電所区画No　※１７")</f>
        <v>通信ID 7　発電所区画No　※１７</v>
      </c>
      <c r="C167" s="282">
        <v>2</v>
      </c>
      <c r="D167" s="283"/>
      <c r="E167" s="283"/>
      <c r="F167" s="283"/>
      <c r="G167" s="283"/>
      <c r="H167" s="284"/>
      <c r="I167" s="240" t="s">
        <v>876</v>
      </c>
      <c r="J167" s="92" t="str">
        <f>IF(C167="","",IF(データ抽出!F167="","",データ抽出!F167))</f>
        <v/>
      </c>
      <c r="K167" s="63" t="str">
        <f>IF(A167="","","5項［発電所情報］の区画番号（1～8）を記入ください")</f>
        <v>5項［発電所情報］の区画番号（1～8）を記入ください</v>
      </c>
    </row>
    <row r="168" spans="1:11">
      <c r="A168" s="198" t="str">
        <f>IF(C$123&lt;7,"",IF(C$131="無し","","8-56"))</f>
        <v>8-56</v>
      </c>
      <c r="B168" s="66" t="str">
        <f>IF(C$123&lt;7,"",IF(C$131="無し","","通信ID 7　PCS毎の出力制御設定　※１８"))</f>
        <v>通信ID 7　PCS毎の出力制御設定　※１８</v>
      </c>
      <c r="C168" s="291" t="s">
        <v>1035</v>
      </c>
      <c r="D168" s="292"/>
      <c r="E168" s="292"/>
      <c r="F168" s="292"/>
      <c r="G168" s="292"/>
      <c r="H168" s="293"/>
      <c r="I168" s="244" t="s">
        <v>876</v>
      </c>
      <c r="J168" s="93" t="str">
        <f>IF(データ抽出!F168="","",データ抽出!F168)</f>
        <v/>
      </c>
      <c r="K168" s="114" t="str">
        <f>IF(A168="","","リストより選択")</f>
        <v>リストより選択</v>
      </c>
    </row>
    <row r="169" spans="1:11">
      <c r="A169" s="197" t="str">
        <f>IF(C$123&lt;8,"","8-57")</f>
        <v>8-57</v>
      </c>
      <c r="B169" s="67" t="str">
        <f>IF(C$123&lt;8,"","通信ID 8　PCS型名")</f>
        <v>通信ID 8　PCS型名</v>
      </c>
      <c r="C169" s="438" t="s">
        <v>709</v>
      </c>
      <c r="D169" s="439"/>
      <c r="E169" s="439"/>
      <c r="F169" s="439"/>
      <c r="G169" s="439"/>
      <c r="H169" s="440"/>
      <c r="I169" s="245" t="s">
        <v>876</v>
      </c>
      <c r="J169" s="91" t="str">
        <f>IF(データ抽出!F169="","",データ抽出!F169)</f>
        <v/>
      </c>
      <c r="K169" s="113" t="str">
        <f>IF(A169="","","リストより選択　オプション部分の型名は問いません")</f>
        <v>リストより選択　オプション部分の型名は問いません</v>
      </c>
    </row>
    <row r="170" spans="1:11">
      <c r="A170" s="196" t="str">
        <f>IF(C$123&lt;8,"","8-58")</f>
        <v>8-58</v>
      </c>
      <c r="B170" s="53" t="str">
        <f>IF(C$123&lt;8,"","通信ID 8　PCS製造番号")</f>
        <v>通信ID 8　PCS製造番号</v>
      </c>
      <c r="C170" s="282" t="s">
        <v>1012</v>
      </c>
      <c r="D170" s="283"/>
      <c r="E170" s="283"/>
      <c r="F170" s="283"/>
      <c r="G170" s="283"/>
      <c r="H170" s="284"/>
      <c r="I170" s="253" t="str">
        <f>IF(B170="","",IF(データ抽出!E170="","",データ抽出!E170))</f>
        <v>任意</v>
      </c>
      <c r="J170" s="92" t="str">
        <f>IF(データ抽出!F170="","",データ抽出!F170)</f>
        <v/>
      </c>
      <c r="K170" s="63" t="str">
        <f>IF(A170="","","設置前等で不明な場合を除き、登録願います")</f>
        <v>設置前等で不明な場合を除き、登録願います</v>
      </c>
    </row>
    <row r="171" spans="1:11">
      <c r="A171" s="196" t="str">
        <f>IF(C$123&lt;8,"","8-59")</f>
        <v>8-59</v>
      </c>
      <c r="B171" s="53" t="str">
        <f>IF(C$123&lt;8,"","通信ID 8　接続パネル合計枚数、直・並列枚数")</f>
        <v>通信ID 8　接続パネル合計枚数、直・並列枚数</v>
      </c>
      <c r="C171" s="225" t="str">
        <f t="shared" si="8"/>
        <v>合計枚数：</v>
      </c>
      <c r="D171" s="254">
        <v>50</v>
      </c>
      <c r="E171" s="226" t="str">
        <f t="shared" si="9"/>
        <v>直列枚数：</v>
      </c>
      <c r="F171" s="254">
        <v>5</v>
      </c>
      <c r="G171" s="226" t="str">
        <f t="shared" si="10"/>
        <v>並列枚数：</v>
      </c>
      <c r="H171" s="254">
        <v>10</v>
      </c>
      <c r="I171" s="454" t="str">
        <f>IF(B171="","",IF(データ抽出!E171="","",データ抽出!E171))</f>
        <v>必須／任意</v>
      </c>
      <c r="J171" s="455"/>
      <c r="K171" s="63" t="str">
        <f>IF(A171="","","必須以外の場合も、より正確な監視のために登録をお勧めします")</f>
        <v>必須以外の場合も、より正確な監視のために登録をお勧めします</v>
      </c>
    </row>
    <row r="172" spans="1:11">
      <c r="A172" s="196" t="str">
        <f>IF(C$123&lt;8,"","8-60")</f>
        <v>8-60</v>
      </c>
      <c r="B172" s="53" t="str">
        <f>IF(C$123&lt;8,"","通信ID 8　発電所区画No　※１７")</f>
        <v>通信ID 8　発電所区画No　※１７</v>
      </c>
      <c r="C172" s="282">
        <v>2</v>
      </c>
      <c r="D172" s="283"/>
      <c r="E172" s="283"/>
      <c r="F172" s="283"/>
      <c r="G172" s="283"/>
      <c r="H172" s="284"/>
      <c r="I172" s="240" t="s">
        <v>876</v>
      </c>
      <c r="J172" s="92" t="str">
        <f>IF(C172="","",IF(データ抽出!F172="","",データ抽出!F172))</f>
        <v/>
      </c>
      <c r="K172" s="63" t="str">
        <f>IF(A172="","","5項［発電所情報］の区画番号（1～8）を記入ください")</f>
        <v>5項［発電所情報］の区画番号（1～8）を記入ください</v>
      </c>
    </row>
    <row r="173" spans="1:11">
      <c r="A173" s="209" t="str">
        <f>IF(C$123&lt;8,"",IF(C$131="無し","","8-61"))</f>
        <v>8-61</v>
      </c>
      <c r="B173" s="64" t="str">
        <f>IF(C$123&lt;8,"",IF(C$131="無し","","通信ID 8　PCS毎の出力制御設定　※１８"))</f>
        <v>通信ID 8　PCS毎の出力制御設定　※１８</v>
      </c>
      <c r="C173" s="291" t="s">
        <v>1035</v>
      </c>
      <c r="D173" s="292"/>
      <c r="E173" s="292"/>
      <c r="F173" s="292"/>
      <c r="G173" s="292"/>
      <c r="H173" s="293"/>
      <c r="I173" s="244" t="s">
        <v>876</v>
      </c>
      <c r="J173" s="93" t="str">
        <f>IF(データ抽出!F173="","",データ抽出!F173)</f>
        <v/>
      </c>
      <c r="K173" s="114" t="str">
        <f>IF(A173="","","リストより選択")</f>
        <v>リストより選択</v>
      </c>
    </row>
    <row r="174" spans="1:11">
      <c r="A174" s="210" t="str">
        <f>IF(C$123&lt;9,"","8-62")</f>
        <v>8-62</v>
      </c>
      <c r="B174" s="65" t="str">
        <f>IF(C$123&lt;9,"","通信ID 9　PCS型名")</f>
        <v>通信ID 9　PCS型名</v>
      </c>
      <c r="C174" s="438" t="s">
        <v>709</v>
      </c>
      <c r="D174" s="439"/>
      <c r="E174" s="439"/>
      <c r="F174" s="439"/>
      <c r="G174" s="439"/>
      <c r="H174" s="440"/>
      <c r="I174" s="245" t="s">
        <v>876</v>
      </c>
      <c r="J174" s="91" t="str">
        <f>IF(データ抽出!F174="","",データ抽出!F174)</f>
        <v/>
      </c>
      <c r="K174" s="113" t="str">
        <f>IF(A174="","","リストより選択　オプション部分の型名は問いません")</f>
        <v>リストより選択　オプション部分の型名は問いません</v>
      </c>
    </row>
    <row r="175" spans="1:11">
      <c r="A175" s="196" t="str">
        <f>IF(C$123&lt;9,"","8-63")</f>
        <v>8-63</v>
      </c>
      <c r="B175" s="53" t="str">
        <f>IF(C$123&lt;9,"","通信ID 9　PCS製造番号")</f>
        <v>通信ID 9　PCS製造番号</v>
      </c>
      <c r="C175" s="282" t="s">
        <v>1013</v>
      </c>
      <c r="D175" s="283"/>
      <c r="E175" s="283"/>
      <c r="F175" s="283"/>
      <c r="G175" s="283"/>
      <c r="H175" s="284"/>
      <c r="I175" s="253" t="str">
        <f>IF(B175="","",IF(データ抽出!E175="","",データ抽出!E175))</f>
        <v>任意</v>
      </c>
      <c r="J175" s="92" t="str">
        <f>IF(データ抽出!F175="","",データ抽出!F175)</f>
        <v/>
      </c>
      <c r="K175" s="63" t="str">
        <f>IF(A175="","","設置前等で不明な場合を除き、登録願います")</f>
        <v>設置前等で不明な場合を除き、登録願います</v>
      </c>
    </row>
    <row r="176" spans="1:11">
      <c r="A176" s="196" t="str">
        <f>IF(C$123&lt;9,"","8-64")</f>
        <v>8-64</v>
      </c>
      <c r="B176" s="53" t="str">
        <f>IF(C$123&lt;9,"","通信ID 9　接続パネル合計枚数、直・並列枚数")</f>
        <v>通信ID 9　接続パネル合計枚数、直・並列枚数</v>
      </c>
      <c r="C176" s="225" t="str">
        <f t="shared" si="8"/>
        <v>合計枚数：</v>
      </c>
      <c r="D176" s="254">
        <v>50</v>
      </c>
      <c r="E176" s="226" t="str">
        <f t="shared" si="9"/>
        <v>直列枚数：</v>
      </c>
      <c r="F176" s="254">
        <v>5</v>
      </c>
      <c r="G176" s="226" t="str">
        <f t="shared" si="10"/>
        <v>並列枚数：</v>
      </c>
      <c r="H176" s="254">
        <v>10</v>
      </c>
      <c r="I176" s="454" t="str">
        <f>IF(B176="","",IF(データ抽出!E176="","",データ抽出!E176))</f>
        <v>必須／任意</v>
      </c>
      <c r="J176" s="455"/>
      <c r="K176" s="63" t="str">
        <f>IF(A176="","","必須以外の場合も、より正確な監視のために登録をお勧めします")</f>
        <v>必須以外の場合も、より正確な監視のために登録をお勧めします</v>
      </c>
    </row>
    <row r="177" spans="1:11">
      <c r="A177" s="196" t="str">
        <f>IF(C$123&lt;9,"","8-65")</f>
        <v>8-65</v>
      </c>
      <c r="B177" s="53" t="str">
        <f>IF(C$123&lt;9,"","通信ID 9　発電所区画No　※１７")</f>
        <v>通信ID 9　発電所区画No　※１７</v>
      </c>
      <c r="C177" s="282">
        <v>3</v>
      </c>
      <c r="D177" s="283"/>
      <c r="E177" s="283"/>
      <c r="F177" s="283"/>
      <c r="G177" s="283"/>
      <c r="H177" s="284"/>
      <c r="I177" s="240" t="s">
        <v>876</v>
      </c>
      <c r="J177" s="92" t="str">
        <f>IF(C177="","",IF(データ抽出!F177="","",データ抽出!F177))</f>
        <v/>
      </c>
      <c r="K177" s="63" t="str">
        <f>IF(A177="","","5項［発電所情報］の区画番号（1～8）を記入ください")</f>
        <v>5項［発電所情報］の区画番号（1～8）を記入ください</v>
      </c>
    </row>
    <row r="178" spans="1:11">
      <c r="A178" s="198" t="str">
        <f>IF(C$123&lt;9,"",IF(C$131="無し","","8-66"))</f>
        <v>8-66</v>
      </c>
      <c r="B178" s="66" t="str">
        <f>IF(C$123&lt;9,"",IF(C$131="無し","","通信ID 9　PCS毎の出力制御設定　※１８"))</f>
        <v>通信ID 9　PCS毎の出力制御設定　※１８</v>
      </c>
      <c r="C178" s="291" t="s">
        <v>1035</v>
      </c>
      <c r="D178" s="292"/>
      <c r="E178" s="292"/>
      <c r="F178" s="292"/>
      <c r="G178" s="292"/>
      <c r="H178" s="293"/>
      <c r="I178" s="244" t="s">
        <v>876</v>
      </c>
      <c r="J178" s="93" t="str">
        <f>IF(データ抽出!F178="","",データ抽出!F178)</f>
        <v/>
      </c>
      <c r="K178" s="114" t="str">
        <f>IF(A178="","","リストより選択")</f>
        <v>リストより選択</v>
      </c>
    </row>
    <row r="179" spans="1:11">
      <c r="A179" s="197" t="str">
        <f>IF(C$123&lt;10,"","8-67")</f>
        <v>8-67</v>
      </c>
      <c r="B179" s="67" t="str">
        <f>IF(C$123&lt;10,"","通信ID 10　PCS型名")</f>
        <v>通信ID 10　PCS型名</v>
      </c>
      <c r="C179" s="438" t="s">
        <v>709</v>
      </c>
      <c r="D179" s="439"/>
      <c r="E179" s="439"/>
      <c r="F179" s="439"/>
      <c r="G179" s="439"/>
      <c r="H179" s="440"/>
      <c r="I179" s="245" t="s">
        <v>876</v>
      </c>
      <c r="J179" s="91" t="str">
        <f>IF(データ抽出!F179="","",データ抽出!F179)</f>
        <v/>
      </c>
      <c r="K179" s="113" t="str">
        <f>IF(A179="","","リストより選択　オプション部分の型名は問いません")</f>
        <v>リストより選択　オプション部分の型名は問いません</v>
      </c>
    </row>
    <row r="180" spans="1:11">
      <c r="A180" s="196" t="str">
        <f>IF(C$123&lt;10,"","8-68")</f>
        <v>8-68</v>
      </c>
      <c r="B180" s="53" t="str">
        <f>IF(C$123&lt;10,"","通信ID 10　PCS製造番号")</f>
        <v>通信ID 10　PCS製造番号</v>
      </c>
      <c r="C180" s="282" t="s">
        <v>1014</v>
      </c>
      <c r="D180" s="283"/>
      <c r="E180" s="283"/>
      <c r="F180" s="283"/>
      <c r="G180" s="283"/>
      <c r="H180" s="284"/>
      <c r="I180" s="253" t="str">
        <f>IF(B180="","",IF(データ抽出!E180="","",データ抽出!E180))</f>
        <v>任意</v>
      </c>
      <c r="J180" s="92" t="str">
        <f>IF(データ抽出!F180="","",データ抽出!F180)</f>
        <v/>
      </c>
      <c r="K180" s="63" t="str">
        <f>IF(A180="","","設置前等で不明な場合を除き、登録願います")</f>
        <v>設置前等で不明な場合を除き、登録願います</v>
      </c>
    </row>
    <row r="181" spans="1:11">
      <c r="A181" s="196" t="str">
        <f>IF(C$123&lt;10,"","8-69")</f>
        <v>8-69</v>
      </c>
      <c r="B181" s="53" t="str">
        <f>IF(C$123&lt;10,"","通信ID 10　接続パネル合計枚数、直・並列枚数")</f>
        <v>通信ID 10　接続パネル合計枚数、直・並列枚数</v>
      </c>
      <c r="C181" s="225" t="str">
        <f t="shared" si="8"/>
        <v>合計枚数：</v>
      </c>
      <c r="D181" s="254">
        <v>50</v>
      </c>
      <c r="E181" s="226" t="str">
        <f t="shared" si="9"/>
        <v>直列枚数：</v>
      </c>
      <c r="F181" s="254">
        <v>5</v>
      </c>
      <c r="G181" s="226" t="str">
        <f t="shared" si="10"/>
        <v>並列枚数：</v>
      </c>
      <c r="H181" s="254">
        <v>10</v>
      </c>
      <c r="I181" s="454" t="str">
        <f>IF(B181="","",IF(データ抽出!E181="","",データ抽出!E181))</f>
        <v>必須／任意</v>
      </c>
      <c r="J181" s="455"/>
      <c r="K181" s="63" t="str">
        <f>IF(A181="","","必須以外の場合も、より正確な監視のために登録をお勧めします")</f>
        <v>必須以外の場合も、より正確な監視のために登録をお勧めします</v>
      </c>
    </row>
    <row r="182" spans="1:11">
      <c r="A182" s="196" t="str">
        <f>IF(C$123&lt;10,"","8-70")</f>
        <v>8-70</v>
      </c>
      <c r="B182" s="53" t="str">
        <f>IF(C$123&lt;10,"","通信ID 10　発電所区画No　※１７")</f>
        <v>通信ID 10　発電所区画No　※１７</v>
      </c>
      <c r="C182" s="282">
        <v>3</v>
      </c>
      <c r="D182" s="283"/>
      <c r="E182" s="283"/>
      <c r="F182" s="283"/>
      <c r="G182" s="283"/>
      <c r="H182" s="284"/>
      <c r="I182" s="240" t="s">
        <v>876</v>
      </c>
      <c r="J182" s="92" t="str">
        <f>IF(C182="","",IF(データ抽出!F182="","",データ抽出!F182))</f>
        <v/>
      </c>
      <c r="K182" s="63" t="str">
        <f>IF(A182="","","5項［発電所情報］の区画番号（1～8）を記入ください")</f>
        <v>5項［発電所情報］の区画番号（1～8）を記入ください</v>
      </c>
    </row>
    <row r="183" spans="1:11">
      <c r="A183" s="209" t="str">
        <f>IF(C$123&lt;10,"",IF(C$131="無し","","8-71"))</f>
        <v>8-71</v>
      </c>
      <c r="B183" s="64" t="str">
        <f>IF(C$123&lt;10,"",IF(C$131="無し","","通信ID 10　PCS毎の出力制御設定　※１８"))</f>
        <v>通信ID 10　PCS毎の出力制御設定　※１８</v>
      </c>
      <c r="C183" s="291" t="s">
        <v>1035</v>
      </c>
      <c r="D183" s="292"/>
      <c r="E183" s="292"/>
      <c r="F183" s="292"/>
      <c r="G183" s="292"/>
      <c r="H183" s="293"/>
      <c r="I183" s="244" t="s">
        <v>876</v>
      </c>
      <c r="J183" s="93" t="str">
        <f>IF(データ抽出!F183="","",データ抽出!F183)</f>
        <v/>
      </c>
      <c r="K183" s="114" t="str">
        <f>IF(A183="","","リストより選択")</f>
        <v>リストより選択</v>
      </c>
    </row>
    <row r="184" spans="1:11">
      <c r="A184" s="210" t="str">
        <f>IF(C$123&lt;11,"","8-72")</f>
        <v>8-72</v>
      </c>
      <c r="B184" s="65" t="str">
        <f>IF(C$123&lt;11,"","通信ID 11　PCS型名")</f>
        <v>通信ID 11　PCS型名</v>
      </c>
      <c r="C184" s="438" t="s">
        <v>709</v>
      </c>
      <c r="D184" s="439"/>
      <c r="E184" s="439"/>
      <c r="F184" s="439"/>
      <c r="G184" s="439"/>
      <c r="H184" s="440"/>
      <c r="I184" s="245" t="s">
        <v>876</v>
      </c>
      <c r="J184" s="91" t="str">
        <f>IF(データ抽出!F184="","",データ抽出!F184)</f>
        <v/>
      </c>
      <c r="K184" s="113" t="str">
        <f>IF(A184="","","リストより選択　オプション部分の型名は問いません")</f>
        <v>リストより選択　オプション部分の型名は問いません</v>
      </c>
    </row>
    <row r="185" spans="1:11">
      <c r="A185" s="196" t="str">
        <f>IF(C$123&lt;11,"","8-73")</f>
        <v>8-73</v>
      </c>
      <c r="B185" s="53" t="str">
        <f>IF(C$123&lt;11,"","通信ID 11　PCS製造番号")</f>
        <v>通信ID 11　PCS製造番号</v>
      </c>
      <c r="C185" s="282" t="s">
        <v>1015</v>
      </c>
      <c r="D185" s="283"/>
      <c r="E185" s="283"/>
      <c r="F185" s="283"/>
      <c r="G185" s="283"/>
      <c r="H185" s="284"/>
      <c r="I185" s="253" t="str">
        <f>IF(B185="","",IF(データ抽出!E185="","",データ抽出!E185))</f>
        <v>任意</v>
      </c>
      <c r="J185" s="92" t="str">
        <f>IF(データ抽出!F185="","",データ抽出!F185)</f>
        <v/>
      </c>
      <c r="K185" s="63" t="str">
        <f>IF(A185="","","設置前等で不明な場合を除き、登録願います")</f>
        <v>設置前等で不明な場合を除き、登録願います</v>
      </c>
    </row>
    <row r="186" spans="1:11">
      <c r="A186" s="196" t="str">
        <f>IF(C$123&lt;11,"","8-74")</f>
        <v>8-74</v>
      </c>
      <c r="B186" s="53" t="str">
        <f>IF(C$123&lt;11,"","通信ID 11　接続パネル合計枚数、直・並列枚数")</f>
        <v>通信ID 11　接続パネル合計枚数、直・並列枚数</v>
      </c>
      <c r="C186" s="225" t="str">
        <f t="shared" si="8"/>
        <v>合計枚数：</v>
      </c>
      <c r="D186" s="254">
        <v>50</v>
      </c>
      <c r="E186" s="226" t="str">
        <f t="shared" si="9"/>
        <v>直列枚数：</v>
      </c>
      <c r="F186" s="254">
        <v>5</v>
      </c>
      <c r="G186" s="226" t="str">
        <f t="shared" si="10"/>
        <v>並列枚数：</v>
      </c>
      <c r="H186" s="254">
        <v>10</v>
      </c>
      <c r="I186" s="454" t="str">
        <f>IF(B186="","",IF(データ抽出!E186="","",データ抽出!E186))</f>
        <v>必須／任意</v>
      </c>
      <c r="J186" s="455"/>
      <c r="K186" s="63" t="str">
        <f>IF(A186="","","必須以外の場合も、より正確な監視のために登録をお勧めします")</f>
        <v>必須以外の場合も、より正確な監視のために登録をお勧めします</v>
      </c>
    </row>
    <row r="187" spans="1:11">
      <c r="A187" s="196" t="str">
        <f>IF(C$123&lt;11,"","8-75")</f>
        <v>8-75</v>
      </c>
      <c r="B187" s="53" t="str">
        <f>IF(C$123&lt;11,"","通信ID 11　発電所区画No　※１７")</f>
        <v>通信ID 11　発電所区画No　※１７</v>
      </c>
      <c r="C187" s="282">
        <v>3</v>
      </c>
      <c r="D187" s="283"/>
      <c r="E187" s="283"/>
      <c r="F187" s="283"/>
      <c r="G187" s="283"/>
      <c r="H187" s="284"/>
      <c r="I187" s="240" t="s">
        <v>876</v>
      </c>
      <c r="J187" s="92" t="str">
        <f>IF(C187="","",IF(データ抽出!F187="","",データ抽出!F187))</f>
        <v/>
      </c>
      <c r="K187" s="63" t="str">
        <f>IF(A187="","","5項［発電所情報］の区画番号（1～8）を記入ください")</f>
        <v>5項［発電所情報］の区画番号（1～8）を記入ください</v>
      </c>
    </row>
    <row r="188" spans="1:11">
      <c r="A188" s="198" t="str">
        <f>IF(C$123&lt;11,"",IF(C$131="無し","","8-76"))</f>
        <v>8-76</v>
      </c>
      <c r="B188" s="66" t="str">
        <f>IF(C$123&lt;11,"",IF(C$131="無し","","通信ID 11　PCS毎の出力制御設定　※１８"))</f>
        <v>通信ID 11　PCS毎の出力制御設定　※１８</v>
      </c>
      <c r="C188" s="291" t="s">
        <v>1035</v>
      </c>
      <c r="D188" s="292"/>
      <c r="E188" s="292"/>
      <c r="F188" s="292"/>
      <c r="G188" s="292"/>
      <c r="H188" s="293"/>
      <c r="I188" s="244" t="s">
        <v>876</v>
      </c>
      <c r="J188" s="93" t="str">
        <f>IF(データ抽出!F188="","",データ抽出!F188)</f>
        <v/>
      </c>
      <c r="K188" s="114" t="str">
        <f>IF(A188="","","リストより選択")</f>
        <v>リストより選択</v>
      </c>
    </row>
    <row r="189" spans="1:11">
      <c r="A189" s="197" t="str">
        <f>IF(C$123&lt;12,"","8-77")</f>
        <v>8-77</v>
      </c>
      <c r="B189" s="67" t="str">
        <f>IF(C$123&lt;12,"","通信ID 12　PCS型名")</f>
        <v>通信ID 12　PCS型名</v>
      </c>
      <c r="C189" s="438" t="s">
        <v>709</v>
      </c>
      <c r="D189" s="439"/>
      <c r="E189" s="439"/>
      <c r="F189" s="439"/>
      <c r="G189" s="439"/>
      <c r="H189" s="440"/>
      <c r="I189" s="245" t="s">
        <v>876</v>
      </c>
      <c r="J189" s="91" t="str">
        <f>IF(データ抽出!F189="","",データ抽出!F189)</f>
        <v/>
      </c>
      <c r="K189" s="113" t="str">
        <f>IF(A189="","","リストより選択　オプション部分の型名は問いません")</f>
        <v>リストより選択　オプション部分の型名は問いません</v>
      </c>
    </row>
    <row r="190" spans="1:11">
      <c r="A190" s="196" t="str">
        <f>IF(C$123&lt;12,"","8-78")</f>
        <v>8-78</v>
      </c>
      <c r="B190" s="53" t="str">
        <f>IF(C$123&lt;12,"","通信ID 12　PCS製造番号")</f>
        <v>通信ID 12　PCS製造番号</v>
      </c>
      <c r="C190" s="282" t="s">
        <v>1016</v>
      </c>
      <c r="D190" s="283"/>
      <c r="E190" s="283"/>
      <c r="F190" s="283"/>
      <c r="G190" s="283"/>
      <c r="H190" s="284"/>
      <c r="I190" s="253" t="str">
        <f>IF(B190="","",IF(データ抽出!E190="","",データ抽出!E190))</f>
        <v>任意</v>
      </c>
      <c r="J190" s="92" t="str">
        <f>IF(データ抽出!F190="","",データ抽出!F190)</f>
        <v/>
      </c>
      <c r="K190" s="63" t="str">
        <f>IF(A190="","","設置前等で不明な場合を除き、登録願います")</f>
        <v>設置前等で不明な場合を除き、登録願います</v>
      </c>
    </row>
    <row r="191" spans="1:11">
      <c r="A191" s="196" t="str">
        <f>IF(C$123&lt;12,"","8-79")</f>
        <v>8-79</v>
      </c>
      <c r="B191" s="53" t="str">
        <f>IF(C$123&lt;12,"","通信ID 12　接続パネル合計枚数、直・並列枚数")</f>
        <v>通信ID 12　接続パネル合計枚数、直・並列枚数</v>
      </c>
      <c r="C191" s="225" t="str">
        <f t="shared" si="8"/>
        <v>合計枚数：</v>
      </c>
      <c r="D191" s="254">
        <v>50</v>
      </c>
      <c r="E191" s="226" t="str">
        <f t="shared" si="9"/>
        <v>直列枚数：</v>
      </c>
      <c r="F191" s="254">
        <v>5</v>
      </c>
      <c r="G191" s="226" t="str">
        <f t="shared" si="10"/>
        <v>並列枚数：</v>
      </c>
      <c r="H191" s="254">
        <v>10</v>
      </c>
      <c r="I191" s="454" t="str">
        <f>IF(B191="","",IF(データ抽出!E191="","",データ抽出!E191))</f>
        <v>必須／任意</v>
      </c>
      <c r="J191" s="455"/>
      <c r="K191" s="63" t="str">
        <f>IF(A191="","","必須以外の場合も、より正確な監視のために登録をお勧めします")</f>
        <v>必須以外の場合も、より正確な監視のために登録をお勧めします</v>
      </c>
    </row>
    <row r="192" spans="1:11">
      <c r="A192" s="196" t="str">
        <f>IF(C$123&lt;12,"","8-80")</f>
        <v>8-80</v>
      </c>
      <c r="B192" s="53" t="str">
        <f>IF(C$123&lt;12,"","通信ID 12　発電所区画No　※１７")</f>
        <v>通信ID 12　発電所区画No　※１７</v>
      </c>
      <c r="C192" s="282">
        <v>3</v>
      </c>
      <c r="D192" s="283"/>
      <c r="E192" s="283"/>
      <c r="F192" s="283"/>
      <c r="G192" s="283"/>
      <c r="H192" s="284"/>
      <c r="I192" s="240" t="s">
        <v>876</v>
      </c>
      <c r="J192" s="92" t="str">
        <f>IF(C192="","",IF(データ抽出!F192="","",データ抽出!F192))</f>
        <v/>
      </c>
      <c r="K192" s="63" t="str">
        <f>IF(A192="","","5項［発電所情報］の区画番号（1～8）を記入ください")</f>
        <v>5項［発電所情報］の区画番号（1～8）を記入ください</v>
      </c>
    </row>
    <row r="193" spans="1:11">
      <c r="A193" s="209" t="str">
        <f>IF(C$123&lt;12,"",IF(C$131="無し","","8-81"))</f>
        <v>8-81</v>
      </c>
      <c r="B193" s="64" t="str">
        <f>IF(C$123&lt;12,"",IF(C$131="無し","","通信ID 12　PCS毎の出力制御設定　※１８"))</f>
        <v>通信ID 12　PCS毎の出力制御設定　※１８</v>
      </c>
      <c r="C193" s="291" t="s">
        <v>1035</v>
      </c>
      <c r="D193" s="292"/>
      <c r="E193" s="292"/>
      <c r="F193" s="292"/>
      <c r="G193" s="292"/>
      <c r="H193" s="293"/>
      <c r="I193" s="244" t="s">
        <v>876</v>
      </c>
      <c r="J193" s="93" t="str">
        <f>IF(データ抽出!F193="","",データ抽出!F193)</f>
        <v/>
      </c>
      <c r="K193" s="114" t="str">
        <f>IF(A193="","","リストより選択")</f>
        <v>リストより選択</v>
      </c>
    </row>
    <row r="194" spans="1:11">
      <c r="A194" s="210" t="str">
        <f>IF(C$123&lt;13,"","8-82")</f>
        <v>8-82</v>
      </c>
      <c r="B194" s="65" t="str">
        <f>IF(C$123&lt;13,"","通信ID 13　PCS型名")</f>
        <v>通信ID 13　PCS型名</v>
      </c>
      <c r="C194" s="438" t="s">
        <v>709</v>
      </c>
      <c r="D194" s="439"/>
      <c r="E194" s="439"/>
      <c r="F194" s="439"/>
      <c r="G194" s="439"/>
      <c r="H194" s="440"/>
      <c r="I194" s="245" t="s">
        <v>876</v>
      </c>
      <c r="J194" s="91" t="str">
        <f>IF(データ抽出!F194="","",データ抽出!F194)</f>
        <v/>
      </c>
      <c r="K194" s="113" t="str">
        <f>IF(A194="","","リストより選択　オプション部分の型名は問いません")</f>
        <v>リストより選択　オプション部分の型名は問いません</v>
      </c>
    </row>
    <row r="195" spans="1:11">
      <c r="A195" s="196" t="str">
        <f>IF(C$123&lt;13,"","8-83")</f>
        <v>8-83</v>
      </c>
      <c r="B195" s="53" t="str">
        <f>IF(C$123&lt;13,"","通信ID 13　PCS製造番号")</f>
        <v>通信ID 13　PCS製造番号</v>
      </c>
      <c r="C195" s="282" t="s">
        <v>1017</v>
      </c>
      <c r="D195" s="283"/>
      <c r="E195" s="283"/>
      <c r="F195" s="283"/>
      <c r="G195" s="283"/>
      <c r="H195" s="284"/>
      <c r="I195" s="253" t="str">
        <f>IF(B195="","",IF(データ抽出!E195="","",データ抽出!E195))</f>
        <v>任意</v>
      </c>
      <c r="J195" s="92" t="str">
        <f>IF(データ抽出!F195="","",データ抽出!F195)</f>
        <v/>
      </c>
      <c r="K195" s="63" t="str">
        <f>IF(A195="","","設置前等で不明な場合を除き、登録願います")</f>
        <v>設置前等で不明な場合を除き、登録願います</v>
      </c>
    </row>
    <row r="196" spans="1:11">
      <c r="A196" s="196" t="str">
        <f>IF(C$123&lt;13,"","8-84")</f>
        <v>8-84</v>
      </c>
      <c r="B196" s="53" t="str">
        <f>IF(C$123&lt;13,"","通信ID 13　接続パネル合計枚数、直・並列枚数")</f>
        <v>通信ID 13　接続パネル合計枚数、直・並列枚数</v>
      </c>
      <c r="C196" s="225" t="str">
        <f t="shared" si="8"/>
        <v>合計枚数：</v>
      </c>
      <c r="D196" s="254">
        <v>50</v>
      </c>
      <c r="E196" s="226" t="str">
        <f t="shared" si="9"/>
        <v>直列枚数：</v>
      </c>
      <c r="F196" s="254">
        <v>5</v>
      </c>
      <c r="G196" s="226" t="str">
        <f t="shared" si="10"/>
        <v>並列枚数：</v>
      </c>
      <c r="H196" s="254">
        <v>10</v>
      </c>
      <c r="I196" s="454" t="str">
        <f>IF(B196="","",IF(データ抽出!E196="","",データ抽出!E196))</f>
        <v>必須／任意</v>
      </c>
      <c r="J196" s="455"/>
      <c r="K196" s="63" t="str">
        <f>IF(A196="","","必須以外の場合も、より正確な監視のために登録をお勧めします")</f>
        <v>必須以外の場合も、より正確な監視のために登録をお勧めします</v>
      </c>
    </row>
    <row r="197" spans="1:11">
      <c r="A197" s="196" t="str">
        <f>IF(C$123&lt;13,"","8-85")</f>
        <v>8-85</v>
      </c>
      <c r="B197" s="53" t="str">
        <f>IF(C$123&lt;13,"","通信ID 13　発電所区画No　※１７")</f>
        <v>通信ID 13　発電所区画No　※１７</v>
      </c>
      <c r="C197" s="282">
        <v>4</v>
      </c>
      <c r="D197" s="283"/>
      <c r="E197" s="283"/>
      <c r="F197" s="283"/>
      <c r="G197" s="283"/>
      <c r="H197" s="284"/>
      <c r="I197" s="240" t="s">
        <v>876</v>
      </c>
      <c r="J197" s="92" t="str">
        <f>IF(C197="","",IF(データ抽出!F197="","",データ抽出!F197))</f>
        <v/>
      </c>
      <c r="K197" s="63" t="str">
        <f>IF(A197="","","5項［発電所情報］の区画番号（1～8）を記入ください")</f>
        <v>5項［発電所情報］の区画番号（1～8）を記入ください</v>
      </c>
    </row>
    <row r="198" spans="1:11">
      <c r="A198" s="198" t="str">
        <f>IF(C$123&lt;13,"",IF(C$131="無し","","8-86"))</f>
        <v>8-86</v>
      </c>
      <c r="B198" s="66" t="str">
        <f>IF(C$123&lt;13,"",IF(C$131="無し","","通信ID 13　PCS毎の出力制御設定　※１８"))</f>
        <v>通信ID 13　PCS毎の出力制御設定　※１８</v>
      </c>
      <c r="C198" s="291" t="s">
        <v>1035</v>
      </c>
      <c r="D198" s="292"/>
      <c r="E198" s="292"/>
      <c r="F198" s="292"/>
      <c r="G198" s="292"/>
      <c r="H198" s="293"/>
      <c r="I198" s="244" t="s">
        <v>876</v>
      </c>
      <c r="J198" s="93" t="str">
        <f>IF(データ抽出!F198="","",データ抽出!F198)</f>
        <v/>
      </c>
      <c r="K198" s="114" t="str">
        <f>IF(A198="","","リストより選択")</f>
        <v>リストより選択</v>
      </c>
    </row>
    <row r="199" spans="1:11">
      <c r="A199" s="197" t="str">
        <f>IF(C$123&lt;14,"","8-87")</f>
        <v>8-87</v>
      </c>
      <c r="B199" s="67" t="str">
        <f>IF(C$123&lt;14,"","通信ID 14　PCS型名")</f>
        <v>通信ID 14　PCS型名</v>
      </c>
      <c r="C199" s="438" t="s">
        <v>709</v>
      </c>
      <c r="D199" s="439"/>
      <c r="E199" s="439"/>
      <c r="F199" s="439"/>
      <c r="G199" s="439"/>
      <c r="H199" s="440"/>
      <c r="I199" s="245" t="s">
        <v>876</v>
      </c>
      <c r="J199" s="91" t="str">
        <f>IF(データ抽出!F199="","",データ抽出!F199)</f>
        <v/>
      </c>
      <c r="K199" s="113" t="str">
        <f>IF(A199="","","リストより選択　オプション部分の型名は問いません")</f>
        <v>リストより選択　オプション部分の型名は問いません</v>
      </c>
    </row>
    <row r="200" spans="1:11">
      <c r="A200" s="196" t="str">
        <f>IF(C$123&lt;14,"","8-88")</f>
        <v>8-88</v>
      </c>
      <c r="B200" s="53" t="str">
        <f>IF(C$123&lt;14,"","通信ID 14　PCS製造番号")</f>
        <v>通信ID 14　PCS製造番号</v>
      </c>
      <c r="C200" s="282" t="s">
        <v>1018</v>
      </c>
      <c r="D200" s="283"/>
      <c r="E200" s="283"/>
      <c r="F200" s="283"/>
      <c r="G200" s="283"/>
      <c r="H200" s="284"/>
      <c r="I200" s="253" t="str">
        <f>IF(B200="","",IF(データ抽出!E200="","",データ抽出!E200))</f>
        <v>任意</v>
      </c>
      <c r="J200" s="92" t="str">
        <f>IF(データ抽出!F200="","",データ抽出!F200)</f>
        <v/>
      </c>
      <c r="K200" s="63" t="str">
        <f>IF(A200="","","設置前等で不明な場合を除き、登録願います")</f>
        <v>設置前等で不明な場合を除き、登録願います</v>
      </c>
    </row>
    <row r="201" spans="1:11">
      <c r="A201" s="196" t="str">
        <f>IF(C$123&lt;14,"","8-89")</f>
        <v>8-89</v>
      </c>
      <c r="B201" s="53" t="str">
        <f>IF(C$123&lt;14,"","通信ID 14　接続パネル合計枚数、直・並列枚数")</f>
        <v>通信ID 14　接続パネル合計枚数、直・並列枚数</v>
      </c>
      <c r="C201" s="225" t="str">
        <f t="shared" si="8"/>
        <v>合計枚数：</v>
      </c>
      <c r="D201" s="254">
        <v>50</v>
      </c>
      <c r="E201" s="226" t="str">
        <f t="shared" si="9"/>
        <v>直列枚数：</v>
      </c>
      <c r="F201" s="254">
        <v>5</v>
      </c>
      <c r="G201" s="226" t="str">
        <f t="shared" si="10"/>
        <v>並列枚数：</v>
      </c>
      <c r="H201" s="254">
        <v>10</v>
      </c>
      <c r="I201" s="454" t="str">
        <f>IF(B201="","",IF(データ抽出!E201="","",データ抽出!E201))</f>
        <v>必須／任意</v>
      </c>
      <c r="J201" s="455"/>
      <c r="K201" s="63" t="str">
        <f>IF(A201="","","必須以外の場合も、より正確な監視のために登録をお勧めします")</f>
        <v>必須以外の場合も、より正確な監視のために登録をお勧めします</v>
      </c>
    </row>
    <row r="202" spans="1:11">
      <c r="A202" s="196" t="str">
        <f>IF(C$123&lt;14,"","8-90")</f>
        <v>8-90</v>
      </c>
      <c r="B202" s="53" t="str">
        <f>IF(C$123&lt;14,"","通信ID 14　発電所区画No　※１７")</f>
        <v>通信ID 14　発電所区画No　※１７</v>
      </c>
      <c r="C202" s="282">
        <v>4</v>
      </c>
      <c r="D202" s="283"/>
      <c r="E202" s="283"/>
      <c r="F202" s="283"/>
      <c r="G202" s="283"/>
      <c r="H202" s="284"/>
      <c r="I202" s="240" t="s">
        <v>876</v>
      </c>
      <c r="J202" s="92" t="str">
        <f>IF(C202="","",IF(データ抽出!F202="","",データ抽出!F202))</f>
        <v/>
      </c>
      <c r="K202" s="63" t="str">
        <f>IF(A202="","","5項［発電所情報］の区画番号（1～8）を記入ください")</f>
        <v>5項［発電所情報］の区画番号（1～8）を記入ください</v>
      </c>
    </row>
    <row r="203" spans="1:11">
      <c r="A203" s="209" t="str">
        <f>IF(C$123&lt;14,"",IF(C$131="無し","","8-91"))</f>
        <v>8-91</v>
      </c>
      <c r="B203" s="64" t="str">
        <f>IF(C$123&lt;14,"",IF(C$131="無し","","通信ID 14　PCS毎の出力制御設定　※１８"))</f>
        <v>通信ID 14　PCS毎の出力制御設定　※１８</v>
      </c>
      <c r="C203" s="291" t="s">
        <v>1035</v>
      </c>
      <c r="D203" s="292"/>
      <c r="E203" s="292"/>
      <c r="F203" s="292"/>
      <c r="G203" s="292"/>
      <c r="H203" s="293"/>
      <c r="I203" s="244" t="s">
        <v>876</v>
      </c>
      <c r="J203" s="93" t="str">
        <f>IF(データ抽出!F203="","",データ抽出!F203)</f>
        <v/>
      </c>
      <c r="K203" s="114" t="str">
        <f>IF(A203="","","リストより選択")</f>
        <v>リストより選択</v>
      </c>
    </row>
    <row r="204" spans="1:11">
      <c r="A204" s="210" t="str">
        <f>IF(C$123&lt;15,"","8-92")</f>
        <v>8-92</v>
      </c>
      <c r="B204" s="65" t="str">
        <f>IF(C$123&lt;15,"","通信ID 15　PCS型名")</f>
        <v>通信ID 15　PCS型名</v>
      </c>
      <c r="C204" s="438" t="s">
        <v>709</v>
      </c>
      <c r="D204" s="439"/>
      <c r="E204" s="439"/>
      <c r="F204" s="439"/>
      <c r="G204" s="439"/>
      <c r="H204" s="440"/>
      <c r="I204" s="245" t="s">
        <v>876</v>
      </c>
      <c r="J204" s="91" t="str">
        <f>IF(データ抽出!F204="","",データ抽出!F204)</f>
        <v/>
      </c>
      <c r="K204" s="113" t="str">
        <f>IF(A204="","","リストより選択　オプション部分の型名は問いません")</f>
        <v>リストより選択　オプション部分の型名は問いません</v>
      </c>
    </row>
    <row r="205" spans="1:11">
      <c r="A205" s="196" t="str">
        <f>IF(C$123&lt;15,"","8-93")</f>
        <v>8-93</v>
      </c>
      <c r="B205" s="53" t="str">
        <f>IF(C$123&lt;15,"","通信ID 15　PCS製造番号")</f>
        <v>通信ID 15　PCS製造番号</v>
      </c>
      <c r="C205" s="282" t="s">
        <v>1019</v>
      </c>
      <c r="D205" s="283"/>
      <c r="E205" s="283"/>
      <c r="F205" s="283"/>
      <c r="G205" s="283"/>
      <c r="H205" s="284"/>
      <c r="I205" s="253" t="str">
        <f>IF(B205="","",IF(データ抽出!E205="","",データ抽出!E205))</f>
        <v>任意</v>
      </c>
      <c r="J205" s="92" t="str">
        <f>IF(データ抽出!F205="","",データ抽出!F205)</f>
        <v/>
      </c>
      <c r="K205" s="63" t="str">
        <f>IF(A205="","","設置前等で不明な場合を除き、登録願います")</f>
        <v>設置前等で不明な場合を除き、登録願います</v>
      </c>
    </row>
    <row r="206" spans="1:11">
      <c r="A206" s="196" t="str">
        <f>IF(C$123&lt;15,"","8-94")</f>
        <v>8-94</v>
      </c>
      <c r="B206" s="53" t="str">
        <f>IF(C$123&lt;15,"","通信ID 15　接続パネル合計枚数、直・並列枚数")</f>
        <v>通信ID 15　接続パネル合計枚数、直・並列枚数</v>
      </c>
      <c r="C206" s="225" t="str">
        <f t="shared" si="8"/>
        <v>合計枚数：</v>
      </c>
      <c r="D206" s="254">
        <v>50</v>
      </c>
      <c r="E206" s="226" t="str">
        <f t="shared" si="9"/>
        <v>直列枚数：</v>
      </c>
      <c r="F206" s="254">
        <v>5</v>
      </c>
      <c r="G206" s="226" t="str">
        <f t="shared" si="10"/>
        <v>並列枚数：</v>
      </c>
      <c r="H206" s="254">
        <v>10</v>
      </c>
      <c r="I206" s="454" t="str">
        <f>IF(B206="","",IF(データ抽出!E206="","",データ抽出!E206))</f>
        <v>必須／任意</v>
      </c>
      <c r="J206" s="455"/>
      <c r="K206" s="63" t="str">
        <f>IF(A206="","","必須以外の場合も、より正確な監視のために登録をお勧めします")</f>
        <v>必須以外の場合も、より正確な監視のために登録をお勧めします</v>
      </c>
    </row>
    <row r="207" spans="1:11">
      <c r="A207" s="196" t="str">
        <f>IF(C$123&lt;15,"","8-95")</f>
        <v>8-95</v>
      </c>
      <c r="B207" s="53" t="str">
        <f>IF(C$123&lt;15,"","通信ID 15　発電所区画No　※１７")</f>
        <v>通信ID 15　発電所区画No　※１７</v>
      </c>
      <c r="C207" s="282">
        <v>4</v>
      </c>
      <c r="D207" s="283"/>
      <c r="E207" s="283"/>
      <c r="F207" s="283"/>
      <c r="G207" s="283"/>
      <c r="H207" s="284"/>
      <c r="I207" s="240" t="s">
        <v>876</v>
      </c>
      <c r="J207" s="92" t="str">
        <f>IF(C207="","",IF(データ抽出!F207="","",データ抽出!F207))</f>
        <v/>
      </c>
      <c r="K207" s="63" t="str">
        <f>IF(A207="","","5項［発電所情報］の区画番号（1～8）を記入ください")</f>
        <v>5項［発電所情報］の区画番号（1～8）を記入ください</v>
      </c>
    </row>
    <row r="208" spans="1:11">
      <c r="A208" s="198" t="str">
        <f>IF(C$123&lt;15,"",IF(C$131="無し","","8-96"))</f>
        <v>8-96</v>
      </c>
      <c r="B208" s="66" t="str">
        <f>IF(C$123&lt;15,"",IF(C$131="無し","","通信ID 15　PCS毎の出力制御設定　※１８"))</f>
        <v>通信ID 15　PCS毎の出力制御設定　※１８</v>
      </c>
      <c r="C208" s="291" t="s">
        <v>1035</v>
      </c>
      <c r="D208" s="292"/>
      <c r="E208" s="292"/>
      <c r="F208" s="292"/>
      <c r="G208" s="292"/>
      <c r="H208" s="293"/>
      <c r="I208" s="244" t="s">
        <v>876</v>
      </c>
      <c r="J208" s="93" t="str">
        <f>IF(データ抽出!F208="","",データ抽出!F208)</f>
        <v/>
      </c>
      <c r="K208" s="114" t="str">
        <f>IF(A208="","","リストより選択")</f>
        <v>リストより選択</v>
      </c>
    </row>
    <row r="209" spans="1:11">
      <c r="A209" s="197" t="str">
        <f>IF(C$123&lt;16,"","8-97")</f>
        <v>8-97</v>
      </c>
      <c r="B209" s="67" t="str">
        <f>IF(C$123&lt;16,"","通信ID 16　PCS型名")</f>
        <v>通信ID 16　PCS型名</v>
      </c>
      <c r="C209" s="438" t="s">
        <v>709</v>
      </c>
      <c r="D209" s="439"/>
      <c r="E209" s="439"/>
      <c r="F209" s="439"/>
      <c r="G209" s="439"/>
      <c r="H209" s="440"/>
      <c r="I209" s="245" t="s">
        <v>876</v>
      </c>
      <c r="J209" s="91" t="str">
        <f>IF(データ抽出!F209="","",データ抽出!F209)</f>
        <v/>
      </c>
      <c r="K209" s="113" t="str">
        <f>IF(A209="","","リストより選択　オプション部分の型名は問いません")</f>
        <v>リストより選択　オプション部分の型名は問いません</v>
      </c>
    </row>
    <row r="210" spans="1:11">
      <c r="A210" s="196" t="str">
        <f>IF(C$123&lt;16,"","8-98")</f>
        <v>8-98</v>
      </c>
      <c r="B210" s="53" t="str">
        <f>IF(C$123&lt;16,"","通信ID 16　PCS製造番号")</f>
        <v>通信ID 16　PCS製造番号</v>
      </c>
      <c r="C210" s="282" t="s">
        <v>1020</v>
      </c>
      <c r="D210" s="283"/>
      <c r="E210" s="283"/>
      <c r="F210" s="283"/>
      <c r="G210" s="283"/>
      <c r="H210" s="284"/>
      <c r="I210" s="253" t="str">
        <f>IF(B210="","",IF(データ抽出!E210="","",データ抽出!E210))</f>
        <v>任意</v>
      </c>
      <c r="J210" s="92" t="str">
        <f>IF(データ抽出!F210="","",データ抽出!F210)</f>
        <v/>
      </c>
      <c r="K210" s="63" t="str">
        <f>IF(A210="","","設置前等で不明な場合を除き、登録願います")</f>
        <v>設置前等で不明な場合を除き、登録願います</v>
      </c>
    </row>
    <row r="211" spans="1:11">
      <c r="A211" s="196" t="str">
        <f>IF(C$123&lt;16,"","8-99")</f>
        <v>8-99</v>
      </c>
      <c r="B211" s="53" t="str">
        <f>IF(C$123&lt;16,"","通信ID 16　接続パネル合計枚数、直・並列枚数")</f>
        <v>通信ID 16　接続パネル合計枚数、直・並列枚数</v>
      </c>
      <c r="C211" s="225" t="str">
        <f t="shared" si="8"/>
        <v>合計枚数：</v>
      </c>
      <c r="D211" s="254">
        <v>50</v>
      </c>
      <c r="E211" s="226" t="str">
        <f t="shared" si="9"/>
        <v>直列枚数：</v>
      </c>
      <c r="F211" s="254">
        <v>5</v>
      </c>
      <c r="G211" s="226" t="str">
        <f t="shared" si="10"/>
        <v>並列枚数：</v>
      </c>
      <c r="H211" s="254">
        <v>10</v>
      </c>
      <c r="I211" s="454" t="str">
        <f>IF(B211="","",IF(データ抽出!E211="","",データ抽出!E211))</f>
        <v>必須／任意</v>
      </c>
      <c r="J211" s="455"/>
      <c r="K211" s="63" t="str">
        <f>IF(A211="","","必須以外の場合も、より正確な監視のために登録をお勧めします")</f>
        <v>必須以外の場合も、より正確な監視のために登録をお勧めします</v>
      </c>
    </row>
    <row r="212" spans="1:11">
      <c r="A212" s="196" t="str">
        <f>IF(C$123&lt;16,"","8-100")</f>
        <v>8-100</v>
      </c>
      <c r="B212" s="53" t="str">
        <f>IF(C$123&lt;16,"","通信ID 16　発電所区画No　※１７")</f>
        <v>通信ID 16　発電所区画No　※１７</v>
      </c>
      <c r="C212" s="282">
        <v>4</v>
      </c>
      <c r="D212" s="283"/>
      <c r="E212" s="283"/>
      <c r="F212" s="283"/>
      <c r="G212" s="283"/>
      <c r="H212" s="284"/>
      <c r="I212" s="240" t="s">
        <v>876</v>
      </c>
      <c r="J212" s="92" t="str">
        <f>IF(C212="","",IF(データ抽出!F212="","",データ抽出!F212))</f>
        <v/>
      </c>
      <c r="K212" s="63" t="str">
        <f>IF(A212="","","5項［発電所情報］の区画番号（1～8）を記入ください")</f>
        <v>5項［発電所情報］の区画番号（1～8）を記入ください</v>
      </c>
    </row>
    <row r="213" spans="1:11">
      <c r="A213" s="209" t="str">
        <f>IF(C$123&lt;16,"",IF(C$131="無し","","8-101"))</f>
        <v>8-101</v>
      </c>
      <c r="B213" s="64" t="str">
        <f>IF(C$123&lt;16,"",IF(C$131="無し","","通信ID 16　PCS毎の出力制御設定　※１８"))</f>
        <v>通信ID 16　PCS毎の出力制御設定　※１８</v>
      </c>
      <c r="C213" s="291" t="s">
        <v>1035</v>
      </c>
      <c r="D213" s="292"/>
      <c r="E213" s="292"/>
      <c r="F213" s="292"/>
      <c r="G213" s="292"/>
      <c r="H213" s="293"/>
      <c r="I213" s="244" t="s">
        <v>876</v>
      </c>
      <c r="J213" s="93" t="str">
        <f>IF(データ抽出!F213="","",データ抽出!F213)</f>
        <v/>
      </c>
      <c r="K213" s="114" t="str">
        <f>IF(A213="","","リストより選択")</f>
        <v>リストより選択</v>
      </c>
    </row>
    <row r="214" spans="1:11">
      <c r="A214" s="210" t="str">
        <f>IF(C$123&lt;17,"","8-102")</f>
        <v>8-102</v>
      </c>
      <c r="B214" s="65" t="str">
        <f>IF(C$123&lt;17,"","通信ID 17　PCS型名")</f>
        <v>通信ID 17　PCS型名</v>
      </c>
      <c r="C214" s="438" t="s">
        <v>709</v>
      </c>
      <c r="D214" s="439"/>
      <c r="E214" s="439"/>
      <c r="F214" s="439"/>
      <c r="G214" s="439"/>
      <c r="H214" s="440"/>
      <c r="I214" s="245" t="s">
        <v>876</v>
      </c>
      <c r="J214" s="91" t="str">
        <f>IF(データ抽出!F214="","",データ抽出!F214)</f>
        <v/>
      </c>
      <c r="K214" s="113" t="str">
        <f>IF(A214="","","リストより選択　オプション部分の型名は問いません")</f>
        <v>リストより選択　オプション部分の型名は問いません</v>
      </c>
    </row>
    <row r="215" spans="1:11">
      <c r="A215" s="196" t="str">
        <f>IF(C$123&lt;17,"","8-103")</f>
        <v>8-103</v>
      </c>
      <c r="B215" s="53" t="str">
        <f>IF(C$123&lt;17,"","通信ID 17　PCS製造番号")</f>
        <v>通信ID 17　PCS製造番号</v>
      </c>
      <c r="C215" s="282" t="s">
        <v>1021</v>
      </c>
      <c r="D215" s="283"/>
      <c r="E215" s="283"/>
      <c r="F215" s="283"/>
      <c r="G215" s="283"/>
      <c r="H215" s="284"/>
      <c r="I215" s="253" t="str">
        <f>IF(B215="","",IF(データ抽出!E215="","",データ抽出!E215))</f>
        <v>任意</v>
      </c>
      <c r="J215" s="92" t="str">
        <f>IF(データ抽出!F215="","",データ抽出!F215)</f>
        <v/>
      </c>
      <c r="K215" s="63" t="str">
        <f>IF(A215="","","設置前等で不明な場合を除き、登録願います")</f>
        <v>設置前等で不明な場合を除き、登録願います</v>
      </c>
    </row>
    <row r="216" spans="1:11">
      <c r="A216" s="196" t="str">
        <f>IF(C$123&lt;17,"","8-104")</f>
        <v>8-104</v>
      </c>
      <c r="B216" s="53" t="str">
        <f>IF(C$123&lt;17,"","通信ID 17　接続パネル合計枚数、直・並列枚数")</f>
        <v>通信ID 17　接続パネル合計枚数、直・並列枚数</v>
      </c>
      <c r="C216" s="225" t="str">
        <f t="shared" ref="C216:C276" si="11">IF($B216="","","合計枚数：")</f>
        <v>合計枚数：</v>
      </c>
      <c r="D216" s="254">
        <v>50</v>
      </c>
      <c r="E216" s="226" t="str">
        <f t="shared" ref="E216:E276" si="12">IF($B216="","","直列枚数：")</f>
        <v>直列枚数：</v>
      </c>
      <c r="F216" s="254">
        <v>5</v>
      </c>
      <c r="G216" s="226" t="str">
        <f t="shared" ref="G216:G276" si="13">IF($B216="","","並列枚数：")</f>
        <v>並列枚数：</v>
      </c>
      <c r="H216" s="254">
        <v>10</v>
      </c>
      <c r="I216" s="454" t="str">
        <f>IF(B216="","",IF(データ抽出!E216="","",データ抽出!E216))</f>
        <v>必須／任意</v>
      </c>
      <c r="J216" s="455"/>
      <c r="K216" s="63" t="str">
        <f>IF(A216="","","必須以外の場合も、より正確な監視のために登録をお勧めします")</f>
        <v>必須以外の場合も、より正確な監視のために登録をお勧めします</v>
      </c>
    </row>
    <row r="217" spans="1:11">
      <c r="A217" s="196" t="str">
        <f>IF(C$123&lt;17,"","8-105")</f>
        <v>8-105</v>
      </c>
      <c r="B217" s="53" t="str">
        <f>IF(C$123&lt;17,"","通信ID 17　発電所区画No　※１７")</f>
        <v>通信ID 17　発電所区画No　※１７</v>
      </c>
      <c r="C217" s="282">
        <v>5</v>
      </c>
      <c r="D217" s="283"/>
      <c r="E217" s="283"/>
      <c r="F217" s="283"/>
      <c r="G217" s="283"/>
      <c r="H217" s="284"/>
      <c r="I217" s="240" t="s">
        <v>876</v>
      </c>
      <c r="J217" s="92" t="str">
        <f>IF(C217="","",IF(データ抽出!F217="","",データ抽出!F217))</f>
        <v/>
      </c>
      <c r="K217" s="63" t="str">
        <f>IF(A217="","","5項［発電所情報］の区画番号（1～8）を記入ください")</f>
        <v>5項［発電所情報］の区画番号（1～8）を記入ください</v>
      </c>
    </row>
    <row r="218" spans="1:11">
      <c r="A218" s="198" t="str">
        <f>IF(C$123&lt;17,"",IF(C$131="無し","","8-106"))</f>
        <v>8-106</v>
      </c>
      <c r="B218" s="66" t="str">
        <f>IF(C$123&lt;17,"",IF(C$131="無し","","通信ID 17　PCS毎の出力制御設定　※１８"))</f>
        <v>通信ID 17　PCS毎の出力制御設定　※１８</v>
      </c>
      <c r="C218" s="291" t="s">
        <v>1035</v>
      </c>
      <c r="D218" s="292"/>
      <c r="E218" s="292"/>
      <c r="F218" s="292"/>
      <c r="G218" s="292"/>
      <c r="H218" s="293"/>
      <c r="I218" s="244" t="s">
        <v>876</v>
      </c>
      <c r="J218" s="93" t="str">
        <f>IF(データ抽出!F218="","",データ抽出!F218)</f>
        <v/>
      </c>
      <c r="K218" s="114" t="str">
        <f>IF(A218="","","リストより選択")</f>
        <v>リストより選択</v>
      </c>
    </row>
    <row r="219" spans="1:11">
      <c r="A219" s="197" t="str">
        <f>IF(C$123&lt;18,"","8-107")</f>
        <v>8-107</v>
      </c>
      <c r="B219" s="67" t="str">
        <f>IF(C$123&lt;18,"","通信ID 18　PCS型名")</f>
        <v>通信ID 18　PCS型名</v>
      </c>
      <c r="C219" s="438" t="s">
        <v>709</v>
      </c>
      <c r="D219" s="439"/>
      <c r="E219" s="439"/>
      <c r="F219" s="439"/>
      <c r="G219" s="439"/>
      <c r="H219" s="440"/>
      <c r="I219" s="245" t="s">
        <v>876</v>
      </c>
      <c r="J219" s="91" t="str">
        <f>IF(データ抽出!F219="","",データ抽出!F219)</f>
        <v/>
      </c>
      <c r="K219" s="113" t="str">
        <f>IF(A219="","","リストより選択　オプション部分の型名は問いません")</f>
        <v>リストより選択　オプション部分の型名は問いません</v>
      </c>
    </row>
    <row r="220" spans="1:11">
      <c r="A220" s="196" t="str">
        <f>IF(C$123&lt;18,"","8-108")</f>
        <v>8-108</v>
      </c>
      <c r="B220" s="53" t="str">
        <f>IF(C$123&lt;18,"","通信ID 18　PCS製造番号")</f>
        <v>通信ID 18　PCS製造番号</v>
      </c>
      <c r="C220" s="282" t="s">
        <v>1022</v>
      </c>
      <c r="D220" s="283"/>
      <c r="E220" s="283"/>
      <c r="F220" s="283"/>
      <c r="G220" s="283"/>
      <c r="H220" s="284"/>
      <c r="I220" s="253" t="str">
        <f>IF(B220="","",IF(データ抽出!E220="","",データ抽出!E220))</f>
        <v>任意</v>
      </c>
      <c r="J220" s="92" t="str">
        <f>IF(データ抽出!F220="","",データ抽出!F220)</f>
        <v/>
      </c>
      <c r="K220" s="63" t="str">
        <f>IF(A220="","","設置前等で不明な場合を除き、登録願います")</f>
        <v>設置前等で不明な場合を除き、登録願います</v>
      </c>
    </row>
    <row r="221" spans="1:11">
      <c r="A221" s="196" t="str">
        <f>IF(C$123&lt;18,"","8-109")</f>
        <v>8-109</v>
      </c>
      <c r="B221" s="53" t="str">
        <f>IF(C$123&lt;18,"","通信ID 18　接続パネル合計枚数、直・並列枚数")</f>
        <v>通信ID 18　接続パネル合計枚数、直・並列枚数</v>
      </c>
      <c r="C221" s="225" t="str">
        <f t="shared" si="11"/>
        <v>合計枚数：</v>
      </c>
      <c r="D221" s="254">
        <v>50</v>
      </c>
      <c r="E221" s="226" t="str">
        <f t="shared" si="12"/>
        <v>直列枚数：</v>
      </c>
      <c r="F221" s="254">
        <v>5</v>
      </c>
      <c r="G221" s="226" t="str">
        <f t="shared" si="13"/>
        <v>並列枚数：</v>
      </c>
      <c r="H221" s="254">
        <v>10</v>
      </c>
      <c r="I221" s="454" t="str">
        <f>IF(B221="","",IF(データ抽出!E221="","",データ抽出!E221))</f>
        <v>必須／任意</v>
      </c>
      <c r="J221" s="455"/>
      <c r="K221" s="63" t="str">
        <f>IF(A221="","","必須以外の場合も、より正確な監視のために登録をお勧めします")</f>
        <v>必須以外の場合も、より正確な監視のために登録をお勧めします</v>
      </c>
    </row>
    <row r="222" spans="1:11">
      <c r="A222" s="196" t="str">
        <f>IF(C$123&lt;18,"","8-110")</f>
        <v>8-110</v>
      </c>
      <c r="B222" s="53" t="str">
        <f>IF(C$123&lt;18,"","通信ID 18　発電所区画No　※１７")</f>
        <v>通信ID 18　発電所区画No　※１７</v>
      </c>
      <c r="C222" s="282">
        <v>5</v>
      </c>
      <c r="D222" s="283"/>
      <c r="E222" s="283"/>
      <c r="F222" s="283"/>
      <c r="G222" s="283"/>
      <c r="H222" s="284"/>
      <c r="I222" s="240" t="s">
        <v>876</v>
      </c>
      <c r="J222" s="92" t="str">
        <f>IF(C222="","",IF(データ抽出!F222="","",データ抽出!F222))</f>
        <v/>
      </c>
      <c r="K222" s="63" t="str">
        <f>IF(A222="","","5項［発電所情報］の区画番号（1～8）を記入ください")</f>
        <v>5項［発電所情報］の区画番号（1～8）を記入ください</v>
      </c>
    </row>
    <row r="223" spans="1:11">
      <c r="A223" s="209" t="str">
        <f>IF(C$123&lt;18,"",IF(C$131="無し","","8-111"))</f>
        <v>8-111</v>
      </c>
      <c r="B223" s="64" t="str">
        <f>IF(C$123&lt;18,"",IF(C$131="無し","","通信ID 18　PCS毎の出力制御設定　※１８"))</f>
        <v>通信ID 18　PCS毎の出力制御設定　※１８</v>
      </c>
      <c r="C223" s="291" t="s">
        <v>1035</v>
      </c>
      <c r="D223" s="292"/>
      <c r="E223" s="292"/>
      <c r="F223" s="292"/>
      <c r="G223" s="292"/>
      <c r="H223" s="293"/>
      <c r="I223" s="244" t="s">
        <v>876</v>
      </c>
      <c r="J223" s="93" t="str">
        <f>IF(データ抽出!F223="","",データ抽出!F223)</f>
        <v/>
      </c>
      <c r="K223" s="114" t="str">
        <f>IF(A223="","","リストより選択")</f>
        <v>リストより選択</v>
      </c>
    </row>
    <row r="224" spans="1:11">
      <c r="A224" s="210" t="str">
        <f>IF(C$123&lt;19,"","8-112")</f>
        <v>8-112</v>
      </c>
      <c r="B224" s="65" t="str">
        <f>IF(C$123&lt;19,"","通信ID 19　PCS型名")</f>
        <v>通信ID 19　PCS型名</v>
      </c>
      <c r="C224" s="438" t="s">
        <v>709</v>
      </c>
      <c r="D224" s="439"/>
      <c r="E224" s="439"/>
      <c r="F224" s="439"/>
      <c r="G224" s="439"/>
      <c r="H224" s="440"/>
      <c r="I224" s="245" t="s">
        <v>876</v>
      </c>
      <c r="J224" s="91" t="str">
        <f>IF(データ抽出!F224="","",データ抽出!F224)</f>
        <v/>
      </c>
      <c r="K224" s="113" t="str">
        <f>IF(A224="","","リストより選択　オプション部分の型名は問いません")</f>
        <v>リストより選択　オプション部分の型名は問いません</v>
      </c>
    </row>
    <row r="225" spans="1:11">
      <c r="A225" s="196" t="str">
        <f>IF(C$123&lt;19,"","8-113")</f>
        <v>8-113</v>
      </c>
      <c r="B225" s="53" t="str">
        <f>IF(C$123&lt;19,"","通信ID 19　PCS製造番号")</f>
        <v>通信ID 19　PCS製造番号</v>
      </c>
      <c r="C225" s="282" t="s">
        <v>1023</v>
      </c>
      <c r="D225" s="283"/>
      <c r="E225" s="283"/>
      <c r="F225" s="283"/>
      <c r="G225" s="283"/>
      <c r="H225" s="284"/>
      <c r="I225" s="253" t="str">
        <f>IF(B225="","",IF(データ抽出!E225="","",データ抽出!E225))</f>
        <v>任意</v>
      </c>
      <c r="J225" s="92" t="str">
        <f>IF(データ抽出!F225="","",データ抽出!F225)</f>
        <v/>
      </c>
      <c r="K225" s="63" t="str">
        <f>IF(A225="","","設置前等で不明な場合を除き、登録願います")</f>
        <v>設置前等で不明な場合を除き、登録願います</v>
      </c>
    </row>
    <row r="226" spans="1:11">
      <c r="A226" s="196" t="str">
        <f>IF(C$123&lt;19,"","8-114")</f>
        <v>8-114</v>
      </c>
      <c r="B226" s="53" t="str">
        <f>IF(C$123&lt;19,"","通信ID 19　接続パネル合計枚数、直・並列枚数")</f>
        <v>通信ID 19　接続パネル合計枚数、直・並列枚数</v>
      </c>
      <c r="C226" s="225" t="str">
        <f t="shared" si="11"/>
        <v>合計枚数：</v>
      </c>
      <c r="D226" s="254">
        <v>50</v>
      </c>
      <c r="E226" s="226" t="str">
        <f t="shared" si="12"/>
        <v>直列枚数：</v>
      </c>
      <c r="F226" s="254">
        <v>5</v>
      </c>
      <c r="G226" s="226" t="str">
        <f t="shared" si="13"/>
        <v>並列枚数：</v>
      </c>
      <c r="H226" s="254">
        <v>10</v>
      </c>
      <c r="I226" s="454" t="str">
        <f>IF(B226="","",IF(データ抽出!E226="","",データ抽出!E226))</f>
        <v>必須／任意</v>
      </c>
      <c r="J226" s="455"/>
      <c r="K226" s="63" t="str">
        <f>IF(A226="","","必須以外の場合も、より正確な監視のために登録をお勧めします")</f>
        <v>必須以外の場合も、より正確な監視のために登録をお勧めします</v>
      </c>
    </row>
    <row r="227" spans="1:11">
      <c r="A227" s="196" t="str">
        <f>IF(C$123&lt;19,"","8-115")</f>
        <v>8-115</v>
      </c>
      <c r="B227" s="53" t="str">
        <f>IF(C$123&lt;19,"","通信ID 19　発電所区画No　※１７")</f>
        <v>通信ID 19　発電所区画No　※１７</v>
      </c>
      <c r="C227" s="282">
        <v>5</v>
      </c>
      <c r="D227" s="283"/>
      <c r="E227" s="283"/>
      <c r="F227" s="283"/>
      <c r="G227" s="283"/>
      <c r="H227" s="284"/>
      <c r="I227" s="240" t="s">
        <v>876</v>
      </c>
      <c r="J227" s="92" t="str">
        <f>IF(C227="","",IF(データ抽出!F227="","",データ抽出!F227))</f>
        <v/>
      </c>
      <c r="K227" s="63" t="str">
        <f>IF(A227="","","5項［発電所情報］の区画番号（1～8）を記入ください")</f>
        <v>5項［発電所情報］の区画番号（1～8）を記入ください</v>
      </c>
    </row>
    <row r="228" spans="1:11">
      <c r="A228" s="198" t="str">
        <f>IF(C$123&lt;19,"",IF(C$131="無し","","8-116"))</f>
        <v>8-116</v>
      </c>
      <c r="B228" s="66" t="str">
        <f>IF(C$123&lt;19,"",IF(C$131="無し","","通信ID 19　PCS毎の出力制御設定　※１８"))</f>
        <v>通信ID 19　PCS毎の出力制御設定　※１８</v>
      </c>
      <c r="C228" s="291" t="s">
        <v>1035</v>
      </c>
      <c r="D228" s="292"/>
      <c r="E228" s="292"/>
      <c r="F228" s="292"/>
      <c r="G228" s="292"/>
      <c r="H228" s="293"/>
      <c r="I228" s="244" t="s">
        <v>876</v>
      </c>
      <c r="J228" s="93" t="str">
        <f>IF(データ抽出!F228="","",データ抽出!F228)</f>
        <v/>
      </c>
      <c r="K228" s="114" t="str">
        <f>IF(A228="","","リストより選択")</f>
        <v>リストより選択</v>
      </c>
    </row>
    <row r="229" spans="1:11">
      <c r="A229" s="197" t="str">
        <f>IF(C$123&lt;20,"","8-117")</f>
        <v>8-117</v>
      </c>
      <c r="B229" s="67" t="str">
        <f>IF(C$123&lt;20,"","通信ID 20　PCS型名")</f>
        <v>通信ID 20　PCS型名</v>
      </c>
      <c r="C229" s="438" t="s">
        <v>709</v>
      </c>
      <c r="D229" s="439"/>
      <c r="E229" s="439"/>
      <c r="F229" s="439"/>
      <c r="G229" s="439"/>
      <c r="H229" s="440"/>
      <c r="I229" s="245" t="s">
        <v>876</v>
      </c>
      <c r="J229" s="91" t="str">
        <f>IF(データ抽出!F229="","",データ抽出!F229)</f>
        <v/>
      </c>
      <c r="K229" s="113" t="str">
        <f>IF(A229="","","リストより選択　オプション部分の型名は問いません")</f>
        <v>リストより選択　オプション部分の型名は問いません</v>
      </c>
    </row>
    <row r="230" spans="1:11">
      <c r="A230" s="196" t="str">
        <f>IF(C$123&lt;20,"","8-118")</f>
        <v>8-118</v>
      </c>
      <c r="B230" s="53" t="str">
        <f>IF(C$123&lt;20,"","通信ID 20　PCS製造番号")</f>
        <v>通信ID 20　PCS製造番号</v>
      </c>
      <c r="C230" s="282" t="s">
        <v>1024</v>
      </c>
      <c r="D230" s="283"/>
      <c r="E230" s="283"/>
      <c r="F230" s="283"/>
      <c r="G230" s="283"/>
      <c r="H230" s="284"/>
      <c r="I230" s="253" t="str">
        <f>IF(B230="","",IF(データ抽出!E230="","",データ抽出!E230))</f>
        <v>任意</v>
      </c>
      <c r="J230" s="92" t="str">
        <f>IF(データ抽出!F230="","",データ抽出!F230)</f>
        <v/>
      </c>
      <c r="K230" s="63" t="str">
        <f>IF(A230="","","設置前等で不明な場合を除き、登録願います")</f>
        <v>設置前等で不明な場合を除き、登録願います</v>
      </c>
    </row>
    <row r="231" spans="1:11">
      <c r="A231" s="196" t="str">
        <f>IF(C$123&lt;20,"","8-119")</f>
        <v>8-119</v>
      </c>
      <c r="B231" s="53" t="str">
        <f>IF(C$123&lt;20,"","通信ID 20　接続パネル合計枚数、直・並列枚数")</f>
        <v>通信ID 20　接続パネル合計枚数、直・並列枚数</v>
      </c>
      <c r="C231" s="225" t="str">
        <f t="shared" si="11"/>
        <v>合計枚数：</v>
      </c>
      <c r="D231" s="254">
        <v>50</v>
      </c>
      <c r="E231" s="226" t="str">
        <f t="shared" si="12"/>
        <v>直列枚数：</v>
      </c>
      <c r="F231" s="254">
        <v>5</v>
      </c>
      <c r="G231" s="226" t="str">
        <f t="shared" si="13"/>
        <v>並列枚数：</v>
      </c>
      <c r="H231" s="254">
        <v>10</v>
      </c>
      <c r="I231" s="454" t="str">
        <f>IF(B231="","",IF(データ抽出!E231="","",データ抽出!E231))</f>
        <v>必須／任意</v>
      </c>
      <c r="J231" s="455"/>
      <c r="K231" s="63" t="str">
        <f>IF(A231="","","必須以外の場合も、より正確な監視のために登録をお勧めします")</f>
        <v>必須以外の場合も、より正確な監視のために登録をお勧めします</v>
      </c>
    </row>
    <row r="232" spans="1:11">
      <c r="A232" s="196" t="str">
        <f>IF(C$123&lt;20,"","8-120")</f>
        <v>8-120</v>
      </c>
      <c r="B232" s="53" t="str">
        <f>IF(C$123&lt;20,"","通信ID 20　発電所区画No　※１７")</f>
        <v>通信ID 20　発電所区画No　※１７</v>
      </c>
      <c r="C232" s="282">
        <v>5</v>
      </c>
      <c r="D232" s="283"/>
      <c r="E232" s="283"/>
      <c r="F232" s="283"/>
      <c r="G232" s="283"/>
      <c r="H232" s="284"/>
      <c r="I232" s="240" t="s">
        <v>876</v>
      </c>
      <c r="J232" s="92" t="str">
        <f>IF(C232="","",IF(データ抽出!F232="","",データ抽出!F232))</f>
        <v/>
      </c>
      <c r="K232" s="63" t="str">
        <f>IF(A232="","","5項［発電所情報］の区画番号（1～8）を記入ください")</f>
        <v>5項［発電所情報］の区画番号（1～8）を記入ください</v>
      </c>
    </row>
    <row r="233" spans="1:11">
      <c r="A233" s="209" t="str">
        <f>IF(C$123&lt;20,"",IF(C$131="無し","","8-121"))</f>
        <v>8-121</v>
      </c>
      <c r="B233" s="64" t="str">
        <f>IF(C$123&lt;20,"",IF(C$131="無し","","通信ID 20　PCS毎の出力制御設定　※１８"))</f>
        <v>通信ID 20　PCS毎の出力制御設定　※１８</v>
      </c>
      <c r="C233" s="291" t="s">
        <v>1035</v>
      </c>
      <c r="D233" s="292"/>
      <c r="E233" s="292"/>
      <c r="F233" s="292"/>
      <c r="G233" s="292"/>
      <c r="H233" s="293"/>
      <c r="I233" s="244" t="s">
        <v>876</v>
      </c>
      <c r="J233" s="93" t="str">
        <f>IF(データ抽出!F233="","",データ抽出!F233)</f>
        <v/>
      </c>
      <c r="K233" s="114" t="str">
        <f>IF(A233="","","リストより選択")</f>
        <v>リストより選択</v>
      </c>
    </row>
    <row r="234" spans="1:11">
      <c r="A234" s="210" t="str">
        <f>IF(C$123&lt;21,"","8-122")</f>
        <v>8-122</v>
      </c>
      <c r="B234" s="65" t="str">
        <f>IF(C$123&lt;21,"","通信ID 21　PCS型名")</f>
        <v>通信ID 21　PCS型名</v>
      </c>
      <c r="C234" s="438" t="s">
        <v>709</v>
      </c>
      <c r="D234" s="439"/>
      <c r="E234" s="439"/>
      <c r="F234" s="439"/>
      <c r="G234" s="439"/>
      <c r="H234" s="440"/>
      <c r="I234" s="245" t="s">
        <v>876</v>
      </c>
      <c r="J234" s="91" t="str">
        <f>IF(データ抽出!F234="","",データ抽出!F234)</f>
        <v/>
      </c>
      <c r="K234" s="113" t="str">
        <f>IF(A234="","","リストより選択　オプション部分の型名は問いません")</f>
        <v>リストより選択　オプション部分の型名は問いません</v>
      </c>
    </row>
    <row r="235" spans="1:11">
      <c r="A235" s="196" t="str">
        <f>IF(C$123&lt;21,"","8-123")</f>
        <v>8-123</v>
      </c>
      <c r="B235" s="53" t="str">
        <f>IF(C$123&lt;21,"","通信ID 21　PCS製造番号")</f>
        <v>通信ID 21　PCS製造番号</v>
      </c>
      <c r="C235" s="282" t="s">
        <v>1025</v>
      </c>
      <c r="D235" s="283"/>
      <c r="E235" s="283"/>
      <c r="F235" s="283"/>
      <c r="G235" s="283"/>
      <c r="H235" s="284"/>
      <c r="I235" s="253" t="str">
        <f>IF(B235="","",IF(データ抽出!E235="","",データ抽出!E235))</f>
        <v>任意</v>
      </c>
      <c r="J235" s="92" t="str">
        <f>IF(データ抽出!F235="","",データ抽出!F235)</f>
        <v/>
      </c>
      <c r="K235" s="63" t="str">
        <f>IF(A235="","","設置前等で不明な場合を除き、登録願います")</f>
        <v>設置前等で不明な場合を除き、登録願います</v>
      </c>
    </row>
    <row r="236" spans="1:11">
      <c r="A236" s="196" t="str">
        <f>IF(C$123&lt;21,"","8-124")</f>
        <v>8-124</v>
      </c>
      <c r="B236" s="53" t="str">
        <f>IF(C$123&lt;21,"","通信ID 21　接続パネル合計枚数、直・並列枚数")</f>
        <v>通信ID 21　接続パネル合計枚数、直・並列枚数</v>
      </c>
      <c r="C236" s="225" t="str">
        <f t="shared" si="11"/>
        <v>合計枚数：</v>
      </c>
      <c r="D236" s="254">
        <v>50</v>
      </c>
      <c r="E236" s="226" t="str">
        <f t="shared" si="12"/>
        <v>直列枚数：</v>
      </c>
      <c r="F236" s="254">
        <v>5</v>
      </c>
      <c r="G236" s="226" t="str">
        <f t="shared" si="13"/>
        <v>並列枚数：</v>
      </c>
      <c r="H236" s="254">
        <v>10</v>
      </c>
      <c r="I236" s="454" t="str">
        <f>IF(B236="","",IF(データ抽出!E236="","",データ抽出!E236))</f>
        <v>必須／任意</v>
      </c>
      <c r="J236" s="455"/>
      <c r="K236" s="63" t="str">
        <f>IF(A236="","","必須以外の場合も、より正確な監視のために登録をお勧めします")</f>
        <v>必須以外の場合も、より正確な監視のために登録をお勧めします</v>
      </c>
    </row>
    <row r="237" spans="1:11">
      <c r="A237" s="196" t="str">
        <f>IF(C$123&lt;21,"","8-125")</f>
        <v>8-125</v>
      </c>
      <c r="B237" s="53" t="str">
        <f>IF(C$123&lt;21,"","通信ID 21　発電所区画No　※１７")</f>
        <v>通信ID 21　発電所区画No　※１７</v>
      </c>
      <c r="C237" s="282">
        <v>6</v>
      </c>
      <c r="D237" s="283"/>
      <c r="E237" s="283"/>
      <c r="F237" s="283"/>
      <c r="G237" s="283"/>
      <c r="H237" s="284"/>
      <c r="I237" s="240" t="s">
        <v>876</v>
      </c>
      <c r="J237" s="92" t="str">
        <f>IF(C237="","",IF(データ抽出!F237="","",データ抽出!F237))</f>
        <v/>
      </c>
      <c r="K237" s="63" t="str">
        <f>IF(A237="","","5項［発電所情報］の区画番号（1～8）を記入ください")</f>
        <v>5項［発電所情報］の区画番号（1～8）を記入ください</v>
      </c>
    </row>
    <row r="238" spans="1:11">
      <c r="A238" s="198" t="str">
        <f>IF(C$123&lt;21,"",IF(C$131="無し","","8-126"))</f>
        <v>8-126</v>
      </c>
      <c r="B238" s="66" t="str">
        <f>IF(C$123&lt;21,"",IF(C$131="無し","","通信ID 21　PCS毎の出力制御設定　※１８"))</f>
        <v>通信ID 21　PCS毎の出力制御設定　※１８</v>
      </c>
      <c r="C238" s="291" t="s">
        <v>1035</v>
      </c>
      <c r="D238" s="292"/>
      <c r="E238" s="292"/>
      <c r="F238" s="292"/>
      <c r="G238" s="292"/>
      <c r="H238" s="293"/>
      <c r="I238" s="244" t="s">
        <v>876</v>
      </c>
      <c r="J238" s="93" t="str">
        <f>IF(データ抽出!F238="","",データ抽出!F238)</f>
        <v/>
      </c>
      <c r="K238" s="114" t="str">
        <f>IF(A238="","","リストより選択")</f>
        <v>リストより選択</v>
      </c>
    </row>
    <row r="239" spans="1:11">
      <c r="A239" s="197" t="str">
        <f>IF(C$123&lt;22,"","8-127")</f>
        <v>8-127</v>
      </c>
      <c r="B239" s="67" t="str">
        <f>IF(C$123&lt;22,"","通信ID 22　PCS型名")</f>
        <v>通信ID 22　PCS型名</v>
      </c>
      <c r="C239" s="438" t="s">
        <v>709</v>
      </c>
      <c r="D239" s="439"/>
      <c r="E239" s="439"/>
      <c r="F239" s="439"/>
      <c r="G239" s="439"/>
      <c r="H239" s="440"/>
      <c r="I239" s="245" t="s">
        <v>876</v>
      </c>
      <c r="J239" s="91" t="str">
        <f>IF(データ抽出!F239="","",データ抽出!F239)</f>
        <v/>
      </c>
      <c r="K239" s="113" t="str">
        <f>IF(A239="","","リストより選択　オプション部分の型名は問いません")</f>
        <v>リストより選択　オプション部分の型名は問いません</v>
      </c>
    </row>
    <row r="240" spans="1:11">
      <c r="A240" s="196" t="str">
        <f>IF(C$123&lt;22,"","8-128")</f>
        <v>8-128</v>
      </c>
      <c r="B240" s="53" t="str">
        <f>IF(C$123&lt;22,"","通信ID 22　PCS製造番号")</f>
        <v>通信ID 22　PCS製造番号</v>
      </c>
      <c r="C240" s="282" t="s">
        <v>1026</v>
      </c>
      <c r="D240" s="283"/>
      <c r="E240" s="283"/>
      <c r="F240" s="283"/>
      <c r="G240" s="283"/>
      <c r="H240" s="284"/>
      <c r="I240" s="253" t="str">
        <f>IF(B240="","",IF(データ抽出!E240="","",データ抽出!E240))</f>
        <v>任意</v>
      </c>
      <c r="J240" s="92" t="str">
        <f>IF(データ抽出!F240="","",データ抽出!F240)</f>
        <v/>
      </c>
      <c r="K240" s="63" t="str">
        <f>IF(A240="","","設置前等で不明な場合を除き、登録願います")</f>
        <v>設置前等で不明な場合を除き、登録願います</v>
      </c>
    </row>
    <row r="241" spans="1:11">
      <c r="A241" s="196" t="str">
        <f>IF(C$123&lt;22,"","8-129")</f>
        <v>8-129</v>
      </c>
      <c r="B241" s="53" t="str">
        <f>IF(C$123&lt;22,"","通信ID 22　接続パネル合計枚数、直・並列枚数")</f>
        <v>通信ID 22　接続パネル合計枚数、直・並列枚数</v>
      </c>
      <c r="C241" s="225" t="str">
        <f t="shared" si="11"/>
        <v>合計枚数：</v>
      </c>
      <c r="D241" s="254">
        <v>50</v>
      </c>
      <c r="E241" s="226" t="str">
        <f t="shared" si="12"/>
        <v>直列枚数：</v>
      </c>
      <c r="F241" s="254">
        <v>5</v>
      </c>
      <c r="G241" s="226" t="str">
        <f t="shared" si="13"/>
        <v>並列枚数：</v>
      </c>
      <c r="H241" s="254">
        <v>10</v>
      </c>
      <c r="I241" s="454" t="str">
        <f>IF(B241="","",IF(データ抽出!E241="","",データ抽出!E241))</f>
        <v>必須／任意</v>
      </c>
      <c r="J241" s="455"/>
      <c r="K241" s="63" t="str">
        <f>IF(A241="","","必須以外の場合も、より正確な監視のために登録をお勧めします")</f>
        <v>必須以外の場合も、より正確な監視のために登録をお勧めします</v>
      </c>
    </row>
    <row r="242" spans="1:11">
      <c r="A242" s="196" t="str">
        <f>IF(C$123&lt;22,"","8-130")</f>
        <v>8-130</v>
      </c>
      <c r="B242" s="53" t="str">
        <f>IF(C$123&lt;22,"","通信ID 22　発電所区画No　※１７")</f>
        <v>通信ID 22　発電所区画No　※１７</v>
      </c>
      <c r="C242" s="282">
        <v>6</v>
      </c>
      <c r="D242" s="283"/>
      <c r="E242" s="283"/>
      <c r="F242" s="283"/>
      <c r="G242" s="283"/>
      <c r="H242" s="284"/>
      <c r="I242" s="240" t="s">
        <v>876</v>
      </c>
      <c r="J242" s="92" t="str">
        <f>IF(C242="","",IF(データ抽出!F242="","",データ抽出!F242))</f>
        <v/>
      </c>
      <c r="K242" s="63" t="str">
        <f>IF(A242="","","5項［発電所情報］の区画番号（1～8）を記入ください")</f>
        <v>5項［発電所情報］の区画番号（1～8）を記入ください</v>
      </c>
    </row>
    <row r="243" spans="1:11">
      <c r="A243" s="209" t="str">
        <f>IF(C$123&lt;22,"",IF(C$131="無し","","8-131"))</f>
        <v>8-131</v>
      </c>
      <c r="B243" s="64" t="str">
        <f>IF(C$123&lt;22,"",IF(C$131="無し","","通信ID 22　PCS毎の出力制御設定　※１８"))</f>
        <v>通信ID 22　PCS毎の出力制御設定　※１８</v>
      </c>
      <c r="C243" s="291" t="s">
        <v>1035</v>
      </c>
      <c r="D243" s="292"/>
      <c r="E243" s="292"/>
      <c r="F243" s="292"/>
      <c r="G243" s="292"/>
      <c r="H243" s="293"/>
      <c r="I243" s="244" t="s">
        <v>876</v>
      </c>
      <c r="J243" s="93" t="str">
        <f>IF(データ抽出!F243="","",データ抽出!F243)</f>
        <v/>
      </c>
      <c r="K243" s="114" t="str">
        <f>IF(A243="","","リストより選択")</f>
        <v>リストより選択</v>
      </c>
    </row>
    <row r="244" spans="1:11">
      <c r="A244" s="210" t="str">
        <f>IF(C$123&lt;23,"","8-132")</f>
        <v>8-132</v>
      </c>
      <c r="B244" s="65" t="str">
        <f>IF(C$123&lt;23,"","通信ID 23　PCS型名")</f>
        <v>通信ID 23　PCS型名</v>
      </c>
      <c r="C244" s="438" t="s">
        <v>709</v>
      </c>
      <c r="D244" s="439"/>
      <c r="E244" s="439"/>
      <c r="F244" s="439"/>
      <c r="G244" s="439"/>
      <c r="H244" s="440"/>
      <c r="I244" s="245" t="s">
        <v>876</v>
      </c>
      <c r="J244" s="91" t="str">
        <f>IF(データ抽出!F244="","",データ抽出!F244)</f>
        <v/>
      </c>
      <c r="K244" s="113" t="str">
        <f>IF(A244="","","リストより選択　オプション部分の型名は問いません")</f>
        <v>リストより選択　オプション部分の型名は問いません</v>
      </c>
    </row>
    <row r="245" spans="1:11">
      <c r="A245" s="196" t="str">
        <f>IF(C$123&lt;23,"","8-133")</f>
        <v>8-133</v>
      </c>
      <c r="B245" s="53" t="str">
        <f>IF(C$123&lt;23,"","通信ID 23　PCS製造番号")</f>
        <v>通信ID 23　PCS製造番号</v>
      </c>
      <c r="C245" s="282" t="s">
        <v>1027</v>
      </c>
      <c r="D245" s="283"/>
      <c r="E245" s="283"/>
      <c r="F245" s="283"/>
      <c r="G245" s="283"/>
      <c r="H245" s="284"/>
      <c r="I245" s="253" t="str">
        <f>IF(B245="","",IF(データ抽出!E245="","",データ抽出!E245))</f>
        <v>任意</v>
      </c>
      <c r="J245" s="92" t="str">
        <f>IF(データ抽出!F245="","",データ抽出!F245)</f>
        <v/>
      </c>
      <c r="K245" s="63" t="str">
        <f>IF(A245="","","設置前等で不明な場合を除き、登録願います")</f>
        <v>設置前等で不明な場合を除き、登録願います</v>
      </c>
    </row>
    <row r="246" spans="1:11">
      <c r="A246" s="196" t="str">
        <f>IF(C$123&lt;23,"","8-134")</f>
        <v>8-134</v>
      </c>
      <c r="B246" s="53" t="str">
        <f>IF(C$123&lt;23,"","通信ID 23　接続パネル合計枚数、直・並列枚数")</f>
        <v>通信ID 23　接続パネル合計枚数、直・並列枚数</v>
      </c>
      <c r="C246" s="225" t="str">
        <f t="shared" si="11"/>
        <v>合計枚数：</v>
      </c>
      <c r="D246" s="254">
        <v>50</v>
      </c>
      <c r="E246" s="226" t="str">
        <f t="shared" si="12"/>
        <v>直列枚数：</v>
      </c>
      <c r="F246" s="254">
        <v>5</v>
      </c>
      <c r="G246" s="226" t="str">
        <f t="shared" si="13"/>
        <v>並列枚数：</v>
      </c>
      <c r="H246" s="254">
        <v>10</v>
      </c>
      <c r="I246" s="454" t="str">
        <f>IF(B246="","",IF(データ抽出!E246="","",データ抽出!E246))</f>
        <v>必須／任意</v>
      </c>
      <c r="J246" s="455"/>
      <c r="K246" s="63" t="str">
        <f>IF(A246="","","必須以外の場合も、より正確な監視のために登録をお勧めします")</f>
        <v>必須以外の場合も、より正確な監視のために登録をお勧めします</v>
      </c>
    </row>
    <row r="247" spans="1:11">
      <c r="A247" s="196" t="str">
        <f>IF(C$123&lt;23,"","8-135")</f>
        <v>8-135</v>
      </c>
      <c r="B247" s="53" t="str">
        <f>IF(C$123&lt;23,"","通信ID 23　発電所区画No　※１７")</f>
        <v>通信ID 23　発電所区画No　※１７</v>
      </c>
      <c r="C247" s="282">
        <v>6</v>
      </c>
      <c r="D247" s="283"/>
      <c r="E247" s="283"/>
      <c r="F247" s="283"/>
      <c r="G247" s="283"/>
      <c r="H247" s="284"/>
      <c r="I247" s="240" t="s">
        <v>876</v>
      </c>
      <c r="J247" s="92" t="str">
        <f>IF(C247="","",IF(データ抽出!F247="","",データ抽出!F247))</f>
        <v/>
      </c>
      <c r="K247" s="63" t="str">
        <f>IF(A247="","","5項［発電所情報］の区画番号（1～8）を記入ください")</f>
        <v>5項［発電所情報］の区画番号（1～8）を記入ください</v>
      </c>
    </row>
    <row r="248" spans="1:11">
      <c r="A248" s="198" t="str">
        <f>IF(C$123&lt;23,"",IF(C$131="無し","","8-136"))</f>
        <v>8-136</v>
      </c>
      <c r="B248" s="66" t="str">
        <f>IF(C$123&lt;23,"",IF(C$131="無し","","通信ID 23　PCS毎の出力制御設定　※１８"))</f>
        <v>通信ID 23　PCS毎の出力制御設定　※１８</v>
      </c>
      <c r="C248" s="291" t="s">
        <v>1035</v>
      </c>
      <c r="D248" s="292"/>
      <c r="E248" s="292"/>
      <c r="F248" s="292"/>
      <c r="G248" s="292"/>
      <c r="H248" s="293"/>
      <c r="I248" s="244" t="s">
        <v>876</v>
      </c>
      <c r="J248" s="93" t="str">
        <f>IF(データ抽出!F248="","",データ抽出!F248)</f>
        <v/>
      </c>
      <c r="K248" s="114" t="str">
        <f>IF(A248="","","リストより選択")</f>
        <v>リストより選択</v>
      </c>
    </row>
    <row r="249" spans="1:11">
      <c r="A249" s="197" t="str">
        <f>IF(C$123&lt;24,"","8-137")</f>
        <v>8-137</v>
      </c>
      <c r="B249" s="67" t="str">
        <f>IF(C$123&lt;24,"","通信ID 24　PCS型名")</f>
        <v>通信ID 24　PCS型名</v>
      </c>
      <c r="C249" s="438" t="s">
        <v>709</v>
      </c>
      <c r="D249" s="439"/>
      <c r="E249" s="439"/>
      <c r="F249" s="439"/>
      <c r="G249" s="439"/>
      <c r="H249" s="440"/>
      <c r="I249" s="245" t="s">
        <v>876</v>
      </c>
      <c r="J249" s="91" t="str">
        <f>IF(データ抽出!F249="","",データ抽出!F249)</f>
        <v/>
      </c>
      <c r="K249" s="113" t="str">
        <f>IF(A249="","","リストより選択　オプション部分の型名は問いません")</f>
        <v>リストより選択　オプション部分の型名は問いません</v>
      </c>
    </row>
    <row r="250" spans="1:11">
      <c r="A250" s="196" t="str">
        <f>IF(C$123&lt;24,"","8-138")</f>
        <v>8-138</v>
      </c>
      <c r="B250" s="53" t="str">
        <f>IF(C$123&lt;24,"","通信ID 24　PCS製造番号")</f>
        <v>通信ID 24　PCS製造番号</v>
      </c>
      <c r="C250" s="282" t="s">
        <v>1028</v>
      </c>
      <c r="D250" s="283"/>
      <c r="E250" s="283"/>
      <c r="F250" s="283"/>
      <c r="G250" s="283"/>
      <c r="H250" s="284"/>
      <c r="I250" s="253" t="str">
        <f>IF(B250="","",IF(データ抽出!E250="","",データ抽出!E250))</f>
        <v>任意</v>
      </c>
      <c r="J250" s="92" t="str">
        <f>IF(データ抽出!F250="","",データ抽出!F250)</f>
        <v/>
      </c>
      <c r="K250" s="63" t="str">
        <f>IF(A250="","","設置前等で不明な場合を除き、登録願います")</f>
        <v>設置前等で不明な場合を除き、登録願います</v>
      </c>
    </row>
    <row r="251" spans="1:11">
      <c r="A251" s="196" t="str">
        <f>IF(C$123&lt;24,"","8-139")</f>
        <v>8-139</v>
      </c>
      <c r="B251" s="53" t="str">
        <f>IF(C$123&lt;24,"","通信ID 24　接続パネル合計枚数、直・並列枚数")</f>
        <v>通信ID 24　接続パネル合計枚数、直・並列枚数</v>
      </c>
      <c r="C251" s="225" t="str">
        <f t="shared" si="11"/>
        <v>合計枚数：</v>
      </c>
      <c r="D251" s="254">
        <v>50</v>
      </c>
      <c r="E251" s="226" t="str">
        <f t="shared" si="12"/>
        <v>直列枚数：</v>
      </c>
      <c r="F251" s="254">
        <v>5</v>
      </c>
      <c r="G251" s="226" t="str">
        <f t="shared" si="13"/>
        <v>並列枚数：</v>
      </c>
      <c r="H251" s="254">
        <v>10</v>
      </c>
      <c r="I251" s="454" t="str">
        <f>IF(B251="","",IF(データ抽出!E251="","",データ抽出!E251))</f>
        <v>必須／任意</v>
      </c>
      <c r="J251" s="455"/>
      <c r="K251" s="63" t="str">
        <f>IF(A251="","","必須以外の場合も、より正確な監視のために登録をお勧めします")</f>
        <v>必須以外の場合も、より正確な監視のために登録をお勧めします</v>
      </c>
    </row>
    <row r="252" spans="1:11">
      <c r="A252" s="196" t="str">
        <f>IF(C$123&lt;24,"","8-140")</f>
        <v>8-140</v>
      </c>
      <c r="B252" s="53" t="str">
        <f>IF(C$123&lt;24,"","通信ID 24　発電所区画No　※１７")</f>
        <v>通信ID 24　発電所区画No　※１７</v>
      </c>
      <c r="C252" s="282">
        <v>6</v>
      </c>
      <c r="D252" s="283"/>
      <c r="E252" s="283"/>
      <c r="F252" s="283"/>
      <c r="G252" s="283"/>
      <c r="H252" s="284"/>
      <c r="I252" s="240" t="s">
        <v>876</v>
      </c>
      <c r="J252" s="92" t="str">
        <f>IF(C252="","",IF(データ抽出!F252="","",データ抽出!F252))</f>
        <v/>
      </c>
      <c r="K252" s="63" t="str">
        <f>IF(A252="","","5項［発電所情報］の区画番号（1～8）を記入ください")</f>
        <v>5項［発電所情報］の区画番号（1～8）を記入ください</v>
      </c>
    </row>
    <row r="253" spans="1:11">
      <c r="A253" s="198" t="str">
        <f>IF(C$123&lt;24,"",IF(C$131="無し","","8-141"))</f>
        <v>8-141</v>
      </c>
      <c r="B253" s="66" t="str">
        <f>IF(C$123&lt;24,"",IF(C$131="無し","","通信ID 24　PCS毎の出力制御設定　※１８"))</f>
        <v>通信ID 24　PCS毎の出力制御設定　※１８</v>
      </c>
      <c r="C253" s="291" t="s">
        <v>1035</v>
      </c>
      <c r="D253" s="292"/>
      <c r="E253" s="292"/>
      <c r="F253" s="292"/>
      <c r="G253" s="292"/>
      <c r="H253" s="293"/>
      <c r="I253" s="244" t="s">
        <v>876</v>
      </c>
      <c r="J253" s="93" t="str">
        <f>IF(データ抽出!F253="","",データ抽出!F253)</f>
        <v/>
      </c>
      <c r="K253" s="114" t="str">
        <f>IF(A253="","","リストより選択")</f>
        <v>リストより選択</v>
      </c>
    </row>
    <row r="254" spans="1:11">
      <c r="A254" s="210" t="str">
        <f>IF(C$123&lt;25,"","8-142")</f>
        <v>8-142</v>
      </c>
      <c r="B254" s="65" t="str">
        <f>IF(C$123&lt;25,"","通信ID 25　PCS型名")</f>
        <v>通信ID 25　PCS型名</v>
      </c>
      <c r="C254" s="438" t="s">
        <v>709</v>
      </c>
      <c r="D254" s="439"/>
      <c r="E254" s="439"/>
      <c r="F254" s="439"/>
      <c r="G254" s="439"/>
      <c r="H254" s="440"/>
      <c r="I254" s="245" t="s">
        <v>876</v>
      </c>
      <c r="J254" s="91" t="str">
        <f>IF(データ抽出!F254="","",データ抽出!F254)</f>
        <v/>
      </c>
      <c r="K254" s="113" t="str">
        <f>IF(A254="","","リストより選択　オプション部分の型名は問いません")</f>
        <v>リストより選択　オプション部分の型名は問いません</v>
      </c>
    </row>
    <row r="255" spans="1:11">
      <c r="A255" s="196" t="str">
        <f>IF(C$123&lt;25,"","8-143")</f>
        <v>8-143</v>
      </c>
      <c r="B255" s="53" t="str">
        <f>IF(C$123&lt;25,"","通信ID 25　PCS製造番号")</f>
        <v>通信ID 25　PCS製造番号</v>
      </c>
      <c r="C255" s="282" t="s">
        <v>1029</v>
      </c>
      <c r="D255" s="283"/>
      <c r="E255" s="283"/>
      <c r="F255" s="283"/>
      <c r="G255" s="283"/>
      <c r="H255" s="284"/>
      <c r="I255" s="253" t="str">
        <f>IF(B255="","",IF(データ抽出!E255="","",データ抽出!E255))</f>
        <v>任意</v>
      </c>
      <c r="J255" s="92" t="str">
        <f>IF(データ抽出!F255="","",データ抽出!F255)</f>
        <v/>
      </c>
      <c r="K255" s="63" t="str">
        <f>IF(A255="","","設置前等で不明な場合を除き、登録願います")</f>
        <v>設置前等で不明な場合を除き、登録願います</v>
      </c>
    </row>
    <row r="256" spans="1:11">
      <c r="A256" s="196" t="str">
        <f>IF(C$123&lt;25,"","8-144")</f>
        <v>8-144</v>
      </c>
      <c r="B256" s="53" t="str">
        <f>IF(C$123&lt;25,"","通信ID 25　接続パネル合計枚数、直・並列枚数")</f>
        <v>通信ID 25　接続パネル合計枚数、直・並列枚数</v>
      </c>
      <c r="C256" s="225" t="str">
        <f t="shared" si="11"/>
        <v>合計枚数：</v>
      </c>
      <c r="D256" s="254">
        <v>50</v>
      </c>
      <c r="E256" s="226" t="str">
        <f t="shared" si="12"/>
        <v>直列枚数：</v>
      </c>
      <c r="F256" s="254">
        <v>5</v>
      </c>
      <c r="G256" s="226" t="str">
        <f t="shared" si="13"/>
        <v>並列枚数：</v>
      </c>
      <c r="H256" s="254">
        <v>10</v>
      </c>
      <c r="I256" s="454" t="str">
        <f>IF(B256="","",IF(データ抽出!E256="","",データ抽出!E256))</f>
        <v>必須／任意</v>
      </c>
      <c r="J256" s="455"/>
      <c r="K256" s="63" t="str">
        <f>IF(A256="","","必須以外の場合も、より正確な監視のために登録をお勧めします")</f>
        <v>必須以外の場合も、より正確な監視のために登録をお勧めします</v>
      </c>
    </row>
    <row r="257" spans="1:11">
      <c r="A257" s="196" t="str">
        <f>IF(C$123&lt;25,"","8-145")</f>
        <v>8-145</v>
      </c>
      <c r="B257" s="53" t="str">
        <f>IF(C$123&lt;25,"","通信ID 25　発電所区画No　※１７")</f>
        <v>通信ID 25　発電所区画No　※１７</v>
      </c>
      <c r="C257" s="282">
        <v>7</v>
      </c>
      <c r="D257" s="283"/>
      <c r="E257" s="283"/>
      <c r="F257" s="283"/>
      <c r="G257" s="283"/>
      <c r="H257" s="284"/>
      <c r="I257" s="240" t="s">
        <v>876</v>
      </c>
      <c r="J257" s="92" t="str">
        <f>IF(C257="","",IF(データ抽出!F257="","",データ抽出!F257))</f>
        <v/>
      </c>
      <c r="K257" s="63" t="str">
        <f>IF(A257="","","5項［発電所情報］の区画番号（1～8）を記入ください")</f>
        <v>5項［発電所情報］の区画番号（1～8）を記入ください</v>
      </c>
    </row>
    <row r="258" spans="1:11">
      <c r="A258" s="198" t="str">
        <f>IF(C$123&lt;25,"",IF(C$131="無し","","8-146"))</f>
        <v>8-146</v>
      </c>
      <c r="B258" s="66" t="str">
        <f>IF(C$123&lt;25,"",IF(C$131="無し","","通信ID 25　PCS毎の出力制御設定　※１８"))</f>
        <v>通信ID 25　PCS毎の出力制御設定　※１８</v>
      </c>
      <c r="C258" s="291" t="s">
        <v>1035</v>
      </c>
      <c r="D258" s="292"/>
      <c r="E258" s="292"/>
      <c r="F258" s="292"/>
      <c r="G258" s="292"/>
      <c r="H258" s="293"/>
      <c r="I258" s="244" t="s">
        <v>876</v>
      </c>
      <c r="J258" s="93" t="str">
        <f>IF(データ抽出!F258="","",データ抽出!F258)</f>
        <v/>
      </c>
      <c r="K258" s="114" t="str">
        <f>IF(A258="","","リストより選択")</f>
        <v>リストより選択</v>
      </c>
    </row>
    <row r="259" spans="1:11">
      <c r="A259" s="197" t="str">
        <f>IF(C$123&lt;26,"","8-147")</f>
        <v>8-147</v>
      </c>
      <c r="B259" s="67" t="str">
        <f>IF(C$123&lt;26,"","通信ID 26　PCS型名")</f>
        <v>通信ID 26　PCS型名</v>
      </c>
      <c r="C259" s="438" t="s">
        <v>709</v>
      </c>
      <c r="D259" s="439"/>
      <c r="E259" s="439"/>
      <c r="F259" s="439"/>
      <c r="G259" s="439"/>
      <c r="H259" s="440"/>
      <c r="I259" s="245" t="s">
        <v>876</v>
      </c>
      <c r="J259" s="91" t="str">
        <f>IF(データ抽出!F259="","",データ抽出!F259)</f>
        <v/>
      </c>
      <c r="K259" s="113" t="str">
        <f>IF(A259="","","リストより選択　オプション部分の型名は問いません")</f>
        <v>リストより選択　オプション部分の型名は問いません</v>
      </c>
    </row>
    <row r="260" spans="1:11">
      <c r="A260" s="196" t="str">
        <f>IF(C$123&lt;26,"","8-148")</f>
        <v>8-148</v>
      </c>
      <c r="B260" s="53" t="str">
        <f>IF(C$123&lt;26,"","通信ID 26　PCS製造番号")</f>
        <v>通信ID 26　PCS製造番号</v>
      </c>
      <c r="C260" s="282" t="s">
        <v>1030</v>
      </c>
      <c r="D260" s="283"/>
      <c r="E260" s="283"/>
      <c r="F260" s="283"/>
      <c r="G260" s="283"/>
      <c r="H260" s="284"/>
      <c r="I260" s="253" t="str">
        <f>IF(B260="","",IF(データ抽出!E260="","",データ抽出!E260))</f>
        <v>任意</v>
      </c>
      <c r="J260" s="92" t="str">
        <f>IF(データ抽出!F260="","",データ抽出!F260)</f>
        <v/>
      </c>
      <c r="K260" s="63" t="str">
        <f>IF(A260="","","設置前等で不明な場合を除き、登録願います")</f>
        <v>設置前等で不明な場合を除き、登録願います</v>
      </c>
    </row>
    <row r="261" spans="1:11">
      <c r="A261" s="196" t="str">
        <f>IF(C$123&lt;26,"","8-149")</f>
        <v>8-149</v>
      </c>
      <c r="B261" s="53" t="str">
        <f>IF(C$123&lt;26,"","通信ID 26　接続パネル合計枚数、直・並列枚数")</f>
        <v>通信ID 26　接続パネル合計枚数、直・並列枚数</v>
      </c>
      <c r="C261" s="225" t="str">
        <f t="shared" si="11"/>
        <v>合計枚数：</v>
      </c>
      <c r="D261" s="254">
        <v>50</v>
      </c>
      <c r="E261" s="226" t="str">
        <f t="shared" si="12"/>
        <v>直列枚数：</v>
      </c>
      <c r="F261" s="254">
        <v>5</v>
      </c>
      <c r="G261" s="226" t="str">
        <f t="shared" si="13"/>
        <v>並列枚数：</v>
      </c>
      <c r="H261" s="254">
        <v>10</v>
      </c>
      <c r="I261" s="454" t="str">
        <f>IF(B261="","",IF(データ抽出!E261="","",データ抽出!E261))</f>
        <v>必須／任意</v>
      </c>
      <c r="J261" s="455"/>
      <c r="K261" s="63" t="str">
        <f>IF(A261="","","必須以外の場合も、より正確な監視のために登録をお勧めします")</f>
        <v>必須以外の場合も、より正確な監視のために登録をお勧めします</v>
      </c>
    </row>
    <row r="262" spans="1:11">
      <c r="A262" s="196" t="str">
        <f>IF(C$123&lt;26,"","8-150")</f>
        <v>8-150</v>
      </c>
      <c r="B262" s="53" t="str">
        <f>IF(C$123&lt;26,"","通信ID 26　発電所区画No　※１７")</f>
        <v>通信ID 26　発電所区画No　※１７</v>
      </c>
      <c r="C262" s="282">
        <v>7</v>
      </c>
      <c r="D262" s="283"/>
      <c r="E262" s="283"/>
      <c r="F262" s="283"/>
      <c r="G262" s="283"/>
      <c r="H262" s="284"/>
      <c r="I262" s="240" t="s">
        <v>876</v>
      </c>
      <c r="J262" s="92" t="str">
        <f>IF(C262="","",IF(データ抽出!F262="","",データ抽出!F262))</f>
        <v/>
      </c>
      <c r="K262" s="63" t="str">
        <f>IF(A262="","","5項［発電所情報］の区画番号（1～8）を記入ください")</f>
        <v>5項［発電所情報］の区画番号（1～8）を記入ください</v>
      </c>
    </row>
    <row r="263" spans="1:11">
      <c r="A263" s="209" t="str">
        <f>IF(C$123&lt;26,"",IF(C$131="無し","","8-151"))</f>
        <v>8-151</v>
      </c>
      <c r="B263" s="64" t="str">
        <f>IF(C$123&lt;26,"",IF(C$131="無し","","通信ID 26　PCS毎の出力制御設定　※１８"))</f>
        <v>通信ID 26　PCS毎の出力制御設定　※１８</v>
      </c>
      <c r="C263" s="291" t="s">
        <v>1035</v>
      </c>
      <c r="D263" s="292"/>
      <c r="E263" s="292"/>
      <c r="F263" s="292"/>
      <c r="G263" s="292"/>
      <c r="H263" s="293"/>
      <c r="I263" s="244" t="s">
        <v>876</v>
      </c>
      <c r="J263" s="93" t="str">
        <f>IF(データ抽出!F263="","",データ抽出!F263)</f>
        <v/>
      </c>
      <c r="K263" s="114" t="str">
        <f>IF(A263="","","リストより選択")</f>
        <v>リストより選択</v>
      </c>
    </row>
    <row r="264" spans="1:11">
      <c r="A264" s="210" t="str">
        <f>IF(C$123&lt;27,"","8-152")</f>
        <v>8-152</v>
      </c>
      <c r="B264" s="65" t="str">
        <f>IF(C$123&lt;27,"","通信ID 27　PCS型名")</f>
        <v>通信ID 27　PCS型名</v>
      </c>
      <c r="C264" s="438" t="s">
        <v>709</v>
      </c>
      <c r="D264" s="439"/>
      <c r="E264" s="439"/>
      <c r="F264" s="439"/>
      <c r="G264" s="439"/>
      <c r="H264" s="440"/>
      <c r="I264" s="245" t="s">
        <v>876</v>
      </c>
      <c r="J264" s="91" t="str">
        <f>IF(データ抽出!F264="","",データ抽出!F264)</f>
        <v/>
      </c>
      <c r="K264" s="113" t="str">
        <f>IF(A264="","","リストより選択　オプション部分の型名は問いません")</f>
        <v>リストより選択　オプション部分の型名は問いません</v>
      </c>
    </row>
    <row r="265" spans="1:11">
      <c r="A265" s="196" t="str">
        <f>IF(C$123&lt;27,"","8-153")</f>
        <v>8-153</v>
      </c>
      <c r="B265" s="53" t="str">
        <f>IF(C$123&lt;27,"","通信ID 27　PCS製造番号")</f>
        <v>通信ID 27　PCS製造番号</v>
      </c>
      <c r="C265" s="282" t="s">
        <v>1031</v>
      </c>
      <c r="D265" s="283"/>
      <c r="E265" s="283"/>
      <c r="F265" s="283"/>
      <c r="G265" s="283"/>
      <c r="H265" s="284"/>
      <c r="I265" s="253" t="str">
        <f>IF(B265="","",IF(データ抽出!E265="","",データ抽出!E265))</f>
        <v>任意</v>
      </c>
      <c r="J265" s="92" t="str">
        <f>IF(データ抽出!F265="","",データ抽出!F265)</f>
        <v/>
      </c>
      <c r="K265" s="63" t="str">
        <f>IF(A265="","","設置前等で不明な場合を除き、登録願います")</f>
        <v>設置前等で不明な場合を除き、登録願います</v>
      </c>
    </row>
    <row r="266" spans="1:11">
      <c r="A266" s="196" t="str">
        <f>IF(C$123&lt;27,"","8-154")</f>
        <v>8-154</v>
      </c>
      <c r="B266" s="53" t="str">
        <f>IF(C$123&lt;27,"","通信ID 27　接続パネル合計枚数、直・並列枚数")</f>
        <v>通信ID 27　接続パネル合計枚数、直・並列枚数</v>
      </c>
      <c r="C266" s="225" t="str">
        <f t="shared" si="11"/>
        <v>合計枚数：</v>
      </c>
      <c r="D266" s="254">
        <v>50</v>
      </c>
      <c r="E266" s="226" t="str">
        <f t="shared" si="12"/>
        <v>直列枚数：</v>
      </c>
      <c r="F266" s="254">
        <v>5</v>
      </c>
      <c r="G266" s="226" t="str">
        <f t="shared" si="13"/>
        <v>並列枚数：</v>
      </c>
      <c r="H266" s="254">
        <v>10</v>
      </c>
      <c r="I266" s="454" t="str">
        <f>IF(B266="","",IF(データ抽出!E266="","",データ抽出!E266))</f>
        <v>必須／任意</v>
      </c>
      <c r="J266" s="455"/>
      <c r="K266" s="63" t="str">
        <f>IF(A266="","","必須以外の場合も、より正確な監視のために登録をお勧めします")</f>
        <v>必須以外の場合も、より正確な監視のために登録をお勧めします</v>
      </c>
    </row>
    <row r="267" spans="1:11">
      <c r="A267" s="196" t="str">
        <f>IF(C$123&lt;27,"","8-155")</f>
        <v>8-155</v>
      </c>
      <c r="B267" s="53" t="str">
        <f>IF(C$123&lt;27,"","通信ID 27　発電所区画No　※１７")</f>
        <v>通信ID 27　発電所区画No　※１７</v>
      </c>
      <c r="C267" s="282">
        <v>7</v>
      </c>
      <c r="D267" s="283"/>
      <c r="E267" s="283"/>
      <c r="F267" s="283"/>
      <c r="G267" s="283"/>
      <c r="H267" s="284"/>
      <c r="I267" s="240" t="s">
        <v>876</v>
      </c>
      <c r="J267" s="92" t="str">
        <f>IF(C267="","",IF(データ抽出!F267="","",データ抽出!F267))</f>
        <v/>
      </c>
      <c r="K267" s="63" t="str">
        <f>IF(A267="","","5項［発電所情報］の区画番号（1～8）を記入ください")</f>
        <v>5項［発電所情報］の区画番号（1～8）を記入ください</v>
      </c>
    </row>
    <row r="268" spans="1:11">
      <c r="A268" s="198" t="str">
        <f>IF(C$123&lt;27,"",IF(C$131="無し","","8-156"))</f>
        <v>8-156</v>
      </c>
      <c r="B268" s="66" t="str">
        <f>IF(C$123&lt;27,"",IF(C$131="無し","","通信ID 27　PCS毎の出力制御設定　※１８"))</f>
        <v>通信ID 27　PCS毎の出力制御設定　※１８</v>
      </c>
      <c r="C268" s="291" t="s">
        <v>1035</v>
      </c>
      <c r="D268" s="292"/>
      <c r="E268" s="292"/>
      <c r="F268" s="292"/>
      <c r="G268" s="292"/>
      <c r="H268" s="293"/>
      <c r="I268" s="244" t="s">
        <v>876</v>
      </c>
      <c r="J268" s="93" t="str">
        <f>IF(データ抽出!F268="","",データ抽出!F268)</f>
        <v/>
      </c>
      <c r="K268" s="114" t="str">
        <f>IF(A268="","","リストより選択")</f>
        <v>リストより選択</v>
      </c>
    </row>
    <row r="269" spans="1:11">
      <c r="A269" s="197" t="str">
        <f>IF(C$123&lt;28,"","8-157")</f>
        <v>8-157</v>
      </c>
      <c r="B269" s="67" t="str">
        <f>IF(C$123&lt;28,"","通信ID 28　PCS型名")</f>
        <v>通信ID 28　PCS型名</v>
      </c>
      <c r="C269" s="438" t="s">
        <v>709</v>
      </c>
      <c r="D269" s="439"/>
      <c r="E269" s="439"/>
      <c r="F269" s="439"/>
      <c r="G269" s="439"/>
      <c r="H269" s="440"/>
      <c r="I269" s="245" t="s">
        <v>876</v>
      </c>
      <c r="J269" s="91" t="str">
        <f>IF(データ抽出!F269="","",データ抽出!F269)</f>
        <v/>
      </c>
      <c r="K269" s="113" t="str">
        <f>IF(A269="","","リストより選択　オプション部分の型名は問いません")</f>
        <v>リストより選択　オプション部分の型名は問いません</v>
      </c>
    </row>
    <row r="270" spans="1:11">
      <c r="A270" s="196" t="str">
        <f>IF(C$123&lt;28,"","8-158")</f>
        <v>8-158</v>
      </c>
      <c r="B270" s="53" t="str">
        <f>IF(C$123&lt;28,"","通信ID 28　PCS製造番号")</f>
        <v>通信ID 28　PCS製造番号</v>
      </c>
      <c r="C270" s="282" t="s">
        <v>1032</v>
      </c>
      <c r="D270" s="283"/>
      <c r="E270" s="283"/>
      <c r="F270" s="283"/>
      <c r="G270" s="283"/>
      <c r="H270" s="284"/>
      <c r="I270" s="253" t="str">
        <f>IF(B270="","",IF(データ抽出!E270="","",データ抽出!E270))</f>
        <v>任意</v>
      </c>
      <c r="J270" s="92" t="str">
        <f>IF(データ抽出!F270="","",データ抽出!F270)</f>
        <v/>
      </c>
      <c r="K270" s="63" t="str">
        <f>IF(A270="","","設置前等で不明な場合を除き、登録願います")</f>
        <v>設置前等で不明な場合を除き、登録願います</v>
      </c>
    </row>
    <row r="271" spans="1:11">
      <c r="A271" s="196" t="str">
        <f>IF(C$123&lt;28,"","8-159")</f>
        <v>8-159</v>
      </c>
      <c r="B271" s="53" t="str">
        <f>IF(C$123&lt;28,"","通信ID 28　接続パネル合計枚数、直・並列枚数")</f>
        <v>通信ID 28　接続パネル合計枚数、直・並列枚数</v>
      </c>
      <c r="C271" s="225" t="str">
        <f t="shared" si="11"/>
        <v>合計枚数：</v>
      </c>
      <c r="D271" s="254">
        <v>50</v>
      </c>
      <c r="E271" s="226" t="str">
        <f t="shared" si="12"/>
        <v>直列枚数：</v>
      </c>
      <c r="F271" s="254">
        <v>5</v>
      </c>
      <c r="G271" s="226" t="str">
        <f t="shared" si="13"/>
        <v>並列枚数：</v>
      </c>
      <c r="H271" s="254">
        <v>10</v>
      </c>
      <c r="I271" s="454" t="str">
        <f>IF(B271="","",IF(データ抽出!E271="","",データ抽出!E271))</f>
        <v>必須／任意</v>
      </c>
      <c r="J271" s="455"/>
      <c r="K271" s="63" t="str">
        <f>IF(A271="","","必須以外の場合も、より正確な監視のために登録をお勧めします")</f>
        <v>必須以外の場合も、より正確な監視のために登録をお勧めします</v>
      </c>
    </row>
    <row r="272" spans="1:11">
      <c r="A272" s="196" t="str">
        <f>IF(C$123&lt;28,"","8-160")</f>
        <v>8-160</v>
      </c>
      <c r="B272" s="53" t="str">
        <f>IF(C$123&lt;28,"","通信ID 28　発電所区画No　※１７")</f>
        <v>通信ID 28　発電所区画No　※１７</v>
      </c>
      <c r="C272" s="282">
        <v>8</v>
      </c>
      <c r="D272" s="283"/>
      <c r="E272" s="283"/>
      <c r="F272" s="283"/>
      <c r="G272" s="283"/>
      <c r="H272" s="284"/>
      <c r="I272" s="240" t="s">
        <v>876</v>
      </c>
      <c r="J272" s="92" t="str">
        <f>IF(C272="","",IF(データ抽出!F272="","",データ抽出!F272))</f>
        <v/>
      </c>
      <c r="K272" s="63" t="str">
        <f>IF(A272="","","5項［発電所情報］の区画番号（1～8）を記入ください")</f>
        <v>5項［発電所情報］の区画番号（1～8）を記入ください</v>
      </c>
    </row>
    <row r="273" spans="1:24">
      <c r="A273" s="209" t="str">
        <f>IF(C$123&lt;28,"",IF(C$131="無し","","8-161"))</f>
        <v>8-161</v>
      </c>
      <c r="B273" s="64" t="str">
        <f>IF(C$123&lt;28,"",IF(C$131="無し","","通信ID 28　PCS毎の出力制御設定　※１８"))</f>
        <v>通信ID 28　PCS毎の出力制御設定　※１８</v>
      </c>
      <c r="C273" s="291" t="s">
        <v>1035</v>
      </c>
      <c r="D273" s="292"/>
      <c r="E273" s="292"/>
      <c r="F273" s="292"/>
      <c r="G273" s="292"/>
      <c r="H273" s="293"/>
      <c r="I273" s="244" t="s">
        <v>876</v>
      </c>
      <c r="J273" s="93" t="str">
        <f>IF(データ抽出!F273="","",データ抽出!F273)</f>
        <v/>
      </c>
      <c r="K273" s="114" t="str">
        <f>IF(A273="","","リストより選択")</f>
        <v>リストより選択</v>
      </c>
    </row>
    <row r="274" spans="1:24">
      <c r="A274" s="210" t="str">
        <f>IF(C$123&lt;29,"","8-162")</f>
        <v>8-162</v>
      </c>
      <c r="B274" s="65" t="str">
        <f>IF(C$123&lt;29,"","通信ID 29　PCS型名")</f>
        <v>通信ID 29　PCS型名</v>
      </c>
      <c r="C274" s="438" t="s">
        <v>709</v>
      </c>
      <c r="D274" s="439"/>
      <c r="E274" s="439"/>
      <c r="F274" s="439"/>
      <c r="G274" s="439"/>
      <c r="H274" s="440"/>
      <c r="I274" s="245" t="s">
        <v>876</v>
      </c>
      <c r="J274" s="91" t="str">
        <f>IF(データ抽出!F274="","",データ抽出!F274)</f>
        <v/>
      </c>
      <c r="K274" s="113" t="str">
        <f>IF(A274="","","リストより選択　オプション部分の型名は問いません")</f>
        <v>リストより選択　オプション部分の型名は問いません</v>
      </c>
    </row>
    <row r="275" spans="1:24">
      <c r="A275" s="196" t="str">
        <f>IF(C$123&lt;29,"","8-163")</f>
        <v>8-163</v>
      </c>
      <c r="B275" s="53" t="str">
        <f>IF(C$123&lt;29,"","通信ID 29　PCS製造番号")</f>
        <v>通信ID 29　PCS製造番号</v>
      </c>
      <c r="C275" s="282" t="s">
        <v>1033</v>
      </c>
      <c r="D275" s="283"/>
      <c r="E275" s="283"/>
      <c r="F275" s="283"/>
      <c r="G275" s="283"/>
      <c r="H275" s="284"/>
      <c r="I275" s="253" t="str">
        <f>IF(B275="","",IF(データ抽出!E275="","",データ抽出!E275))</f>
        <v>任意</v>
      </c>
      <c r="J275" s="92" t="str">
        <f>IF(データ抽出!F275="","",データ抽出!F275)</f>
        <v/>
      </c>
      <c r="K275" s="63" t="str">
        <f>IF(A275="","","設置前等で不明な場合を除き、登録願います")</f>
        <v>設置前等で不明な場合を除き、登録願います</v>
      </c>
    </row>
    <row r="276" spans="1:24">
      <c r="A276" s="196" t="str">
        <f>IF(C$123&lt;29,"","8-164")</f>
        <v>8-164</v>
      </c>
      <c r="B276" s="53" t="str">
        <f>IF(C$123&lt;29,"","通信ID 29　接続パネル合計枚数、直・並列枚数")</f>
        <v>通信ID 29　接続パネル合計枚数、直・並列枚数</v>
      </c>
      <c r="C276" s="225" t="str">
        <f t="shared" si="11"/>
        <v>合計枚数：</v>
      </c>
      <c r="D276" s="254">
        <v>50</v>
      </c>
      <c r="E276" s="226" t="str">
        <f t="shared" si="12"/>
        <v>直列枚数：</v>
      </c>
      <c r="F276" s="254">
        <v>5</v>
      </c>
      <c r="G276" s="226" t="str">
        <f t="shared" si="13"/>
        <v>並列枚数：</v>
      </c>
      <c r="H276" s="254">
        <v>10</v>
      </c>
      <c r="I276" s="454" t="str">
        <f>IF(B276="","",IF(データ抽出!E276="","",データ抽出!E276))</f>
        <v>必須／任意</v>
      </c>
      <c r="J276" s="455"/>
      <c r="K276" s="63" t="str">
        <f>IF(A276="","","必須以外の場合も、より正確な監視のために登録をお勧めします")</f>
        <v>必須以外の場合も、より正確な監視のために登録をお勧めします</v>
      </c>
    </row>
    <row r="277" spans="1:24">
      <c r="A277" s="196" t="str">
        <f>IF(C$123&lt;29,"","8-165")</f>
        <v>8-165</v>
      </c>
      <c r="B277" s="53" t="str">
        <f>IF(C$123&lt;29,"","通信ID 29　発電所区画No　※１７")</f>
        <v>通信ID 29　発電所区画No　※１７</v>
      </c>
      <c r="C277" s="282">
        <v>8</v>
      </c>
      <c r="D277" s="283"/>
      <c r="E277" s="283"/>
      <c r="F277" s="283"/>
      <c r="G277" s="283"/>
      <c r="H277" s="284"/>
      <c r="I277" s="240" t="s">
        <v>876</v>
      </c>
      <c r="J277" s="92" t="str">
        <f>IF(C277="","",IF(データ抽出!F277="","",データ抽出!F277))</f>
        <v/>
      </c>
      <c r="K277" s="63" t="str">
        <f>IF(A277="","","5項［発電所情報］の区画番号（1～8）を記入ください")</f>
        <v>5項［発電所情報］の区画番号（1～8）を記入ください</v>
      </c>
    </row>
    <row r="278" spans="1:24">
      <c r="A278" s="198" t="str">
        <f>IF(C$123&lt;29,"",IF(C$131="無し","","8-166"))</f>
        <v>8-166</v>
      </c>
      <c r="B278" s="66" t="str">
        <f>IF(C$123&lt;29,"",IF(C$131="無し","","通信ID 29　PCS毎の出力制御設定　※１８"))</f>
        <v>通信ID 29　PCS毎の出力制御設定　※１８</v>
      </c>
      <c r="C278" s="291" t="s">
        <v>1035</v>
      </c>
      <c r="D278" s="292"/>
      <c r="E278" s="292"/>
      <c r="F278" s="292"/>
      <c r="G278" s="292"/>
      <c r="H278" s="293"/>
      <c r="I278" s="244" t="s">
        <v>876</v>
      </c>
      <c r="J278" s="93" t="str">
        <f>IF(データ抽出!F278="","",データ抽出!F278)</f>
        <v/>
      </c>
      <c r="K278" s="114" t="str">
        <f>IF(A278="","","リストより選択")</f>
        <v>リストより選択</v>
      </c>
      <c r="L278" s="102"/>
      <c r="M278" s="102"/>
      <c r="N278" s="102"/>
      <c r="O278" s="102"/>
      <c r="P278" s="102"/>
      <c r="Q278" s="102"/>
      <c r="R278" s="102"/>
      <c r="S278" s="102"/>
      <c r="T278" s="102"/>
      <c r="U278" s="102"/>
      <c r="V278" s="102"/>
      <c r="W278" s="102"/>
      <c r="X278" s="102"/>
    </row>
    <row r="279" spans="1:24">
      <c r="A279" s="197" t="str">
        <f>IF(C$123&lt;30,"","8-167")</f>
        <v>8-167</v>
      </c>
      <c r="B279" s="67" t="str">
        <f>IF(C$123&lt;30,"","通信ID 30　PCS型名")</f>
        <v>通信ID 30　PCS型名</v>
      </c>
      <c r="C279" s="438" t="s">
        <v>709</v>
      </c>
      <c r="D279" s="439"/>
      <c r="E279" s="439"/>
      <c r="F279" s="439"/>
      <c r="G279" s="439"/>
      <c r="H279" s="440"/>
      <c r="I279" s="245" t="s">
        <v>876</v>
      </c>
      <c r="J279" s="91" t="str">
        <f>IF(データ抽出!F279="","",データ抽出!F279)</f>
        <v/>
      </c>
      <c r="K279" s="113" t="str">
        <f>IF(A279="","","リストより選択　オプション部分の型名は問いません")</f>
        <v>リストより選択　オプション部分の型名は問いません</v>
      </c>
    </row>
    <row r="280" spans="1:24">
      <c r="A280" s="196" t="str">
        <f>IF(C$123&lt;30,"","8-168")</f>
        <v>8-168</v>
      </c>
      <c r="B280" s="53" t="str">
        <f>IF(C$123&lt;30,"","通信ID 30　PCS製造番号")</f>
        <v>通信ID 30　PCS製造番号</v>
      </c>
      <c r="C280" s="282" t="s">
        <v>1034</v>
      </c>
      <c r="D280" s="283"/>
      <c r="E280" s="283"/>
      <c r="F280" s="283"/>
      <c r="G280" s="283"/>
      <c r="H280" s="284"/>
      <c r="I280" s="253" t="str">
        <f>IF(B280="","",IF(データ抽出!E280="","",データ抽出!E280))</f>
        <v>任意</v>
      </c>
      <c r="J280" s="92" t="str">
        <f>IF(データ抽出!F280="","",データ抽出!F280)</f>
        <v/>
      </c>
      <c r="K280" s="63" t="str">
        <f>IF(A280="","","設置前等で不明な場合を除き、登録願います")</f>
        <v>設置前等で不明な場合を除き、登録願います</v>
      </c>
      <c r="L280" s="43"/>
      <c r="M280" s="43"/>
      <c r="N280" s="43"/>
      <c r="O280" s="43"/>
      <c r="P280" s="43"/>
      <c r="Q280" s="43"/>
      <c r="R280" s="43"/>
      <c r="S280" s="43"/>
      <c r="T280" s="43"/>
      <c r="U280" s="43"/>
      <c r="V280" s="43"/>
      <c r="W280" s="43"/>
      <c r="X280" s="43"/>
    </row>
    <row r="281" spans="1:24" s="102" customFormat="1">
      <c r="A281" s="196" t="str">
        <f>IF(C$123&lt;30,"","8-169")</f>
        <v>8-169</v>
      </c>
      <c r="B281" s="53" t="str">
        <f>IF(C$123&lt;30,"","通信ID 30　接続パネル合計枚数、直・並列枚数")</f>
        <v>通信ID 30　接続パネル合計枚数、直・並列枚数</v>
      </c>
      <c r="C281" s="225" t="str">
        <f t="shared" ref="C281" si="14">IF($B281="","","合計枚数：")</f>
        <v>合計枚数：</v>
      </c>
      <c r="D281" s="254">
        <v>50</v>
      </c>
      <c r="E281" s="226" t="str">
        <f t="shared" ref="E281" si="15">IF($B281="","","直列枚数：")</f>
        <v>直列枚数：</v>
      </c>
      <c r="F281" s="254">
        <v>5</v>
      </c>
      <c r="G281" s="226" t="str">
        <f t="shared" ref="G281" si="16">IF($B281="","","並列枚数：")</f>
        <v>並列枚数：</v>
      </c>
      <c r="H281" s="254">
        <v>10</v>
      </c>
      <c r="I281" s="454" t="str">
        <f>IF(B281="","",IF(データ抽出!E281="","",データ抽出!E281))</f>
        <v>必須／任意</v>
      </c>
      <c r="J281" s="455"/>
      <c r="K281" s="63" t="str">
        <f>IF(A281="","","必須以外の場合も、より正確な監視のために登録をお勧めします")</f>
        <v>必須以外の場合も、より正確な監視のために登録をお勧めします</v>
      </c>
      <c r="L281" s="3"/>
      <c r="M281" s="3"/>
      <c r="N281" s="3"/>
      <c r="O281" s="3"/>
      <c r="P281" s="3"/>
      <c r="Q281" s="3"/>
      <c r="R281" s="3"/>
      <c r="S281" s="3"/>
      <c r="T281" s="3"/>
      <c r="U281" s="3"/>
      <c r="V281" s="3"/>
      <c r="W281" s="3"/>
      <c r="X281" s="3"/>
    </row>
    <row r="282" spans="1:24" s="102" customFormat="1" ht="15" customHeight="1">
      <c r="A282" s="196" t="str">
        <f>IF(C$123&lt;30,"","8-170")</f>
        <v>8-170</v>
      </c>
      <c r="B282" s="53" t="str">
        <f>IF(C$123&lt;30,"","通信ID 30　発電所区画No　※１７")</f>
        <v>通信ID 30　発電所区画No　※１７</v>
      </c>
      <c r="C282" s="282">
        <v>8</v>
      </c>
      <c r="D282" s="283"/>
      <c r="E282" s="283"/>
      <c r="F282" s="283"/>
      <c r="G282" s="283"/>
      <c r="H282" s="284"/>
      <c r="I282" s="240" t="s">
        <v>876</v>
      </c>
      <c r="J282" s="92" t="str">
        <f>IF(C282="","",IF(データ抽出!F282="","",データ抽出!F282))</f>
        <v/>
      </c>
      <c r="K282" s="63" t="str">
        <f>IF(A282="","","5項［発電所情報］の区画番号（1～8）を記入ください")</f>
        <v>5項［発電所情報］の区画番号（1～8）を記入ください</v>
      </c>
      <c r="L282" s="3"/>
      <c r="M282" s="3"/>
      <c r="N282" s="3"/>
      <c r="O282" s="3"/>
      <c r="P282" s="3"/>
      <c r="Q282" s="3"/>
      <c r="R282" s="3"/>
      <c r="S282" s="3"/>
      <c r="T282" s="3"/>
      <c r="U282" s="3"/>
      <c r="V282" s="3"/>
      <c r="W282" s="3"/>
      <c r="X282" s="3"/>
    </row>
    <row r="283" spans="1:24" s="102" customFormat="1" ht="15" customHeight="1" thickBot="1">
      <c r="A283" s="211" t="str">
        <f>IF(C$123&lt;30,"",IF(C$131="無し","","8-171"))</f>
        <v>8-171</v>
      </c>
      <c r="B283" s="59" t="str">
        <f>IF(C$123&lt;30,"",IF(C$131="無し","","通信ID 30　PCS毎の出力制御設定　※１８"))</f>
        <v>通信ID 30　PCS毎の出力制御設定　※１８</v>
      </c>
      <c r="C283" s="285" t="s">
        <v>1035</v>
      </c>
      <c r="D283" s="286"/>
      <c r="E283" s="286"/>
      <c r="F283" s="286"/>
      <c r="G283" s="286"/>
      <c r="H283" s="287"/>
      <c r="I283" s="244" t="s">
        <v>876</v>
      </c>
      <c r="J283" s="93" t="str">
        <f>IF(データ抽出!F283="","",データ抽出!F283)</f>
        <v/>
      </c>
      <c r="K283" s="114" t="str">
        <f>IF(A283="","","リストより選択")</f>
        <v>リストより選択</v>
      </c>
      <c r="L283" s="3"/>
      <c r="M283" s="3"/>
      <c r="N283" s="3"/>
      <c r="O283" s="3"/>
      <c r="P283" s="3"/>
      <c r="Q283" s="3"/>
      <c r="R283" s="3"/>
      <c r="S283" s="3"/>
      <c r="T283" s="3"/>
      <c r="U283" s="3"/>
      <c r="V283" s="3"/>
      <c r="W283" s="3"/>
      <c r="X283" s="3"/>
    </row>
    <row r="284" spans="1:24" s="102" customFormat="1" ht="30" customHeight="1">
      <c r="A284" s="310" t="s">
        <v>438</v>
      </c>
      <c r="B284" s="302" t="s">
        <v>747</v>
      </c>
      <c r="C284" s="303"/>
      <c r="D284" s="303"/>
      <c r="E284" s="303"/>
      <c r="F284" s="303"/>
      <c r="G284" s="303"/>
      <c r="H284" s="303"/>
      <c r="I284" s="303"/>
      <c r="J284" s="303"/>
      <c r="K284" s="304"/>
      <c r="L284" s="3"/>
      <c r="M284" s="3"/>
      <c r="N284" s="3"/>
      <c r="O284" s="3"/>
      <c r="P284" s="3"/>
      <c r="Q284" s="3"/>
      <c r="R284" s="3"/>
      <c r="S284" s="3"/>
      <c r="T284" s="3"/>
      <c r="U284" s="3"/>
      <c r="V284" s="3"/>
      <c r="W284" s="3"/>
      <c r="X284" s="3"/>
    </row>
    <row r="285" spans="1:24" s="102" customFormat="1" ht="15" customHeight="1">
      <c r="A285" s="311"/>
      <c r="B285" s="302" t="s">
        <v>858</v>
      </c>
      <c r="C285" s="313"/>
      <c r="D285" s="313"/>
      <c r="E285" s="313"/>
      <c r="F285" s="313"/>
      <c r="G285" s="313"/>
      <c r="H285" s="313"/>
      <c r="I285" s="313"/>
      <c r="J285" s="313"/>
      <c r="K285" s="314"/>
      <c r="L285" s="3"/>
      <c r="M285" s="3"/>
      <c r="N285" s="3"/>
      <c r="O285" s="3"/>
      <c r="P285" s="3"/>
      <c r="Q285" s="3"/>
      <c r="R285" s="3"/>
      <c r="S285" s="3"/>
      <c r="T285" s="3"/>
      <c r="U285" s="3"/>
      <c r="V285" s="3"/>
      <c r="W285" s="3"/>
      <c r="X285" s="3"/>
    </row>
    <row r="286" spans="1:24" s="102" customFormat="1" ht="15" customHeight="1">
      <c r="A286" s="311"/>
      <c r="B286" s="302" t="s">
        <v>859</v>
      </c>
      <c r="C286" s="313"/>
      <c r="D286" s="313"/>
      <c r="E286" s="313"/>
      <c r="F286" s="313"/>
      <c r="G286" s="313"/>
      <c r="H286" s="313"/>
      <c r="I286" s="313"/>
      <c r="J286" s="313"/>
      <c r="K286" s="314"/>
      <c r="L286" s="3"/>
      <c r="M286" s="3"/>
      <c r="N286" s="3"/>
      <c r="O286" s="3"/>
      <c r="P286" s="3"/>
      <c r="Q286" s="3"/>
      <c r="R286" s="3"/>
      <c r="S286" s="3"/>
      <c r="T286" s="3"/>
      <c r="U286" s="3"/>
      <c r="V286" s="3"/>
      <c r="W286" s="3"/>
      <c r="X286" s="3"/>
    </row>
    <row r="287" spans="1:24" s="102" customFormat="1" ht="15" customHeight="1">
      <c r="A287" s="311"/>
      <c r="B287" s="302" t="s">
        <v>860</v>
      </c>
      <c r="C287" s="313"/>
      <c r="D287" s="313"/>
      <c r="E287" s="313"/>
      <c r="F287" s="313"/>
      <c r="G287" s="313"/>
      <c r="H287" s="313"/>
      <c r="I287" s="313"/>
      <c r="J287" s="313"/>
      <c r="K287" s="314"/>
      <c r="L287" s="3"/>
      <c r="M287" s="3"/>
      <c r="N287" s="3"/>
      <c r="O287" s="3"/>
      <c r="P287" s="3"/>
      <c r="Q287" s="3"/>
      <c r="R287" s="3"/>
      <c r="S287" s="3"/>
      <c r="T287" s="3"/>
      <c r="U287" s="3"/>
      <c r="V287" s="3"/>
      <c r="W287" s="3"/>
      <c r="X287" s="3"/>
    </row>
    <row r="288" spans="1:24" s="102" customFormat="1" ht="15" customHeight="1">
      <c r="A288" s="311"/>
      <c r="B288" s="302" t="s">
        <v>856</v>
      </c>
      <c r="C288" s="313"/>
      <c r="D288" s="313"/>
      <c r="E288" s="313"/>
      <c r="F288" s="313"/>
      <c r="G288" s="313"/>
      <c r="H288" s="313"/>
      <c r="I288" s="313"/>
      <c r="J288" s="313"/>
      <c r="K288" s="314"/>
      <c r="L288" s="3"/>
      <c r="M288" s="3"/>
      <c r="N288" s="3"/>
      <c r="O288" s="3"/>
      <c r="P288" s="3"/>
      <c r="Q288" s="3"/>
      <c r="R288" s="3"/>
      <c r="S288" s="3"/>
      <c r="T288" s="3"/>
      <c r="U288" s="3"/>
      <c r="V288" s="3"/>
      <c r="W288" s="3"/>
      <c r="X288" s="3"/>
    </row>
    <row r="289" spans="1:24" s="102" customFormat="1" ht="15" customHeight="1">
      <c r="A289" s="311"/>
      <c r="B289" s="302" t="s">
        <v>857</v>
      </c>
      <c r="C289" s="313"/>
      <c r="D289" s="313"/>
      <c r="E289" s="313"/>
      <c r="F289" s="313"/>
      <c r="G289" s="313"/>
      <c r="H289" s="313"/>
      <c r="I289" s="313"/>
      <c r="J289" s="313"/>
      <c r="K289" s="314"/>
      <c r="L289" s="3"/>
      <c r="M289" s="3"/>
      <c r="N289" s="3"/>
      <c r="O289" s="3"/>
      <c r="P289" s="3"/>
      <c r="Q289" s="3"/>
      <c r="R289" s="3"/>
      <c r="S289" s="3"/>
      <c r="T289" s="3"/>
      <c r="U289" s="3"/>
      <c r="V289" s="3"/>
      <c r="W289" s="3"/>
      <c r="X289" s="3"/>
    </row>
    <row r="290" spans="1:24" s="102" customFormat="1" ht="15" customHeight="1">
      <c r="A290" s="311"/>
      <c r="B290" s="302" t="s">
        <v>848</v>
      </c>
      <c r="C290" s="303"/>
      <c r="D290" s="303"/>
      <c r="E290" s="303"/>
      <c r="F290" s="303"/>
      <c r="G290" s="303"/>
      <c r="H290" s="303"/>
      <c r="I290" s="303"/>
      <c r="J290" s="303"/>
      <c r="K290" s="304"/>
      <c r="L290" s="3"/>
      <c r="M290" s="3"/>
      <c r="N290" s="3"/>
      <c r="O290" s="3"/>
      <c r="P290" s="3"/>
      <c r="Q290" s="3"/>
      <c r="R290" s="3"/>
      <c r="S290" s="3"/>
      <c r="T290" s="3"/>
      <c r="U290" s="3"/>
      <c r="V290" s="3"/>
      <c r="W290" s="3"/>
      <c r="X290" s="3"/>
    </row>
    <row r="291" spans="1:24" ht="15" customHeight="1">
      <c r="A291" s="311"/>
      <c r="B291" s="302" t="s">
        <v>849</v>
      </c>
      <c r="C291" s="303"/>
      <c r="D291" s="303"/>
      <c r="E291" s="303"/>
      <c r="F291" s="303"/>
      <c r="G291" s="303"/>
      <c r="H291" s="303"/>
      <c r="I291" s="303"/>
      <c r="J291" s="303"/>
      <c r="K291" s="304"/>
    </row>
    <row r="292" spans="1:24" ht="15" customHeight="1">
      <c r="A292" s="311"/>
      <c r="B292" s="302" t="s">
        <v>861</v>
      </c>
      <c r="C292" s="303"/>
      <c r="D292" s="303"/>
      <c r="E292" s="303"/>
      <c r="F292" s="303"/>
      <c r="G292" s="303"/>
      <c r="H292" s="303"/>
      <c r="I292" s="303"/>
      <c r="J292" s="303"/>
      <c r="K292" s="304"/>
    </row>
    <row r="293" spans="1:24" s="43" customFormat="1" ht="15" customHeight="1">
      <c r="A293" s="312"/>
      <c r="B293" s="308" t="s">
        <v>886</v>
      </c>
      <c r="C293" s="275"/>
      <c r="D293" s="275"/>
      <c r="E293" s="275"/>
      <c r="F293" s="275"/>
      <c r="G293" s="275"/>
      <c r="H293" s="275"/>
      <c r="I293" s="275"/>
      <c r="J293" s="275"/>
      <c r="K293" s="309"/>
      <c r="L293" s="3"/>
      <c r="M293" s="3"/>
      <c r="N293" s="3"/>
      <c r="O293" s="3"/>
      <c r="P293" s="3"/>
      <c r="Q293" s="3"/>
      <c r="R293" s="3"/>
      <c r="S293" s="3"/>
      <c r="T293" s="3"/>
      <c r="U293" s="3"/>
      <c r="V293" s="3"/>
      <c r="W293" s="3"/>
      <c r="X293" s="3"/>
    </row>
    <row r="294" spans="1:24" ht="85" customHeight="1">
      <c r="A294" s="305" t="s">
        <v>887</v>
      </c>
      <c r="B294" s="306"/>
      <c r="C294" s="306"/>
      <c r="D294" s="306"/>
      <c r="E294" s="306"/>
      <c r="F294" s="306"/>
      <c r="G294" s="306"/>
      <c r="H294" s="306"/>
      <c r="I294" s="306"/>
      <c r="J294" s="306"/>
      <c r="K294" s="307"/>
    </row>
    <row r="295" spans="1:24" ht="180" customHeight="1" thickBot="1">
      <c r="A295" s="305" t="s">
        <v>888</v>
      </c>
      <c r="B295" s="306"/>
      <c r="C295" s="306"/>
      <c r="D295" s="306"/>
      <c r="E295" s="306"/>
      <c r="F295" s="306"/>
      <c r="G295" s="306"/>
      <c r="H295" s="306"/>
      <c r="I295" s="306"/>
      <c r="J295" s="306"/>
      <c r="K295" s="307"/>
    </row>
    <row r="296" spans="1:24">
      <c r="A296" s="49" t="s">
        <v>716</v>
      </c>
      <c r="B296" s="50" t="s">
        <v>754</v>
      </c>
      <c r="C296" s="294" t="s">
        <v>1036</v>
      </c>
      <c r="D296" s="295"/>
      <c r="E296" s="295"/>
      <c r="F296" s="295"/>
      <c r="G296" s="295"/>
      <c r="H296" s="296"/>
      <c r="I296" s="245" t="s">
        <v>876</v>
      </c>
      <c r="J296" s="91" t="str">
        <f>IF(データ抽出!F296="","",データ抽出!F296)</f>
        <v/>
      </c>
      <c r="K296" s="110" t="s">
        <v>527</v>
      </c>
    </row>
    <row r="297" spans="1:24">
      <c r="A297" s="52" t="s">
        <v>718</v>
      </c>
      <c r="B297" s="53" t="s">
        <v>750</v>
      </c>
      <c r="C297" s="282" t="s">
        <v>710</v>
      </c>
      <c r="D297" s="283"/>
      <c r="E297" s="283"/>
      <c r="F297" s="283"/>
      <c r="G297" s="283"/>
      <c r="H297" s="284"/>
      <c r="I297" s="240" t="s">
        <v>1045</v>
      </c>
      <c r="J297" s="92" t="str">
        <f>IF(データ抽出!F297="","",データ抽出!F297)</f>
        <v/>
      </c>
      <c r="K297" s="63" t="s">
        <v>889</v>
      </c>
    </row>
    <row r="298" spans="1:24">
      <c r="A298" s="52" t="s">
        <v>720</v>
      </c>
      <c r="B298" s="53" t="s">
        <v>751</v>
      </c>
      <c r="C298" s="282" t="s">
        <v>1037</v>
      </c>
      <c r="D298" s="283"/>
      <c r="E298" s="283"/>
      <c r="F298" s="283"/>
      <c r="G298" s="283"/>
      <c r="H298" s="284"/>
      <c r="I298" s="240" t="s">
        <v>876</v>
      </c>
      <c r="J298" s="92" t="str">
        <f>IF(データ抽出!F298="","",データ抽出!F298)</f>
        <v/>
      </c>
      <c r="K298" s="63" t="s">
        <v>522</v>
      </c>
    </row>
    <row r="299" spans="1:24">
      <c r="A299" s="52" t="s">
        <v>721</v>
      </c>
      <c r="B299" s="53" t="s">
        <v>752</v>
      </c>
      <c r="C299" s="282" t="s">
        <v>1038</v>
      </c>
      <c r="D299" s="283"/>
      <c r="E299" s="283"/>
      <c r="F299" s="283"/>
      <c r="G299" s="283"/>
      <c r="H299" s="284"/>
      <c r="I299" s="240" t="s">
        <v>876</v>
      </c>
      <c r="J299" s="92" t="str">
        <f>IF(データ抽出!F299="","",データ抽出!F299)</f>
        <v/>
      </c>
      <c r="K299" s="63"/>
    </row>
    <row r="300" spans="1:24">
      <c r="A300" s="52" t="s">
        <v>722</v>
      </c>
      <c r="B300" s="53" t="s">
        <v>472</v>
      </c>
      <c r="C300" s="297" t="s">
        <v>1039</v>
      </c>
      <c r="D300" s="298"/>
      <c r="E300" s="298"/>
      <c r="F300" s="298" t="s">
        <v>1040</v>
      </c>
      <c r="G300" s="298"/>
      <c r="H300" s="299"/>
      <c r="I300" s="240" t="s">
        <v>876</v>
      </c>
      <c r="J300" s="92" t="str">
        <f>IF(データ抽出!F300="","",データ抽出!F300)</f>
        <v/>
      </c>
      <c r="K300" s="63" t="s">
        <v>529</v>
      </c>
    </row>
    <row r="301" spans="1:24">
      <c r="A301" s="52" t="s">
        <v>723</v>
      </c>
      <c r="B301" s="53" t="s">
        <v>473</v>
      </c>
      <c r="C301" s="297" t="s">
        <v>1041</v>
      </c>
      <c r="D301" s="298"/>
      <c r="E301" s="298"/>
      <c r="F301" s="298" t="s">
        <v>1042</v>
      </c>
      <c r="G301" s="298"/>
      <c r="H301" s="299"/>
      <c r="I301" s="240" t="s">
        <v>876</v>
      </c>
      <c r="J301" s="92" t="str">
        <f>IF(データ抽出!F301="","",データ抽出!F301)</f>
        <v/>
      </c>
      <c r="K301" s="63" t="s">
        <v>530</v>
      </c>
    </row>
    <row r="302" spans="1:24">
      <c r="A302" s="52" t="s">
        <v>724</v>
      </c>
      <c r="B302" s="53" t="s">
        <v>4</v>
      </c>
      <c r="C302" s="327" t="s">
        <v>1043</v>
      </c>
      <c r="D302" s="328"/>
      <c r="E302" s="328"/>
      <c r="F302" s="328"/>
      <c r="G302" s="328"/>
      <c r="H302" s="329"/>
      <c r="I302" s="239" t="s">
        <v>876</v>
      </c>
      <c r="J302" s="92" t="str">
        <f>IF(データ抽出!F302="","",データ抽出!F302)</f>
        <v/>
      </c>
      <c r="K302" s="63" t="s">
        <v>521</v>
      </c>
    </row>
    <row r="303" spans="1:24" ht="13.5" customHeight="1" thickBot="1">
      <c r="A303" s="71" t="s">
        <v>725</v>
      </c>
      <c r="B303" s="59" t="s">
        <v>12</v>
      </c>
      <c r="C303" s="444" t="s">
        <v>1044</v>
      </c>
      <c r="D303" s="286"/>
      <c r="E303" s="286"/>
      <c r="F303" s="286"/>
      <c r="G303" s="286"/>
      <c r="H303" s="287"/>
      <c r="I303" s="244" t="s">
        <v>876</v>
      </c>
      <c r="J303" s="93" t="str">
        <f>IF(データ抽出!F303="","",データ抽出!F303)</f>
        <v/>
      </c>
      <c r="K303" s="115"/>
    </row>
    <row r="304" spans="1:24" ht="13.5" customHeight="1"/>
    <row r="305" spans="1:11" ht="13.5" customHeight="1" thickBot="1"/>
    <row r="306" spans="1:11" ht="13.5" customHeight="1">
      <c r="A306" s="370" t="s">
        <v>883</v>
      </c>
      <c r="B306" s="371"/>
      <c r="C306" s="371"/>
      <c r="D306" s="371"/>
      <c r="E306" s="371"/>
      <c r="F306" s="371"/>
      <c r="G306" s="371"/>
      <c r="H306" s="371"/>
      <c r="I306" s="371"/>
      <c r="J306" s="371"/>
      <c r="K306" s="372"/>
    </row>
    <row r="307" spans="1:11" ht="13.5" customHeight="1">
      <c r="A307" s="373"/>
      <c r="B307" s="374"/>
      <c r="C307" s="374"/>
      <c r="D307" s="374"/>
      <c r="E307" s="374"/>
      <c r="F307" s="374"/>
      <c r="G307" s="374"/>
      <c r="H307" s="374"/>
      <c r="I307" s="374"/>
      <c r="J307" s="374"/>
      <c r="K307" s="375"/>
    </row>
    <row r="308" spans="1:11" ht="13.5" customHeight="1">
      <c r="A308" s="373"/>
      <c r="B308" s="374"/>
      <c r="C308" s="374"/>
      <c r="D308" s="374"/>
      <c r="E308" s="374"/>
      <c r="F308" s="374"/>
      <c r="G308" s="374"/>
      <c r="H308" s="374"/>
      <c r="I308" s="374"/>
      <c r="J308" s="374"/>
      <c r="K308" s="375"/>
    </row>
    <row r="309" spans="1:11" ht="13.5" customHeight="1">
      <c r="A309" s="373"/>
      <c r="B309" s="374"/>
      <c r="C309" s="374"/>
      <c r="D309" s="374"/>
      <c r="E309" s="374"/>
      <c r="F309" s="374"/>
      <c r="G309" s="374"/>
      <c r="H309" s="374"/>
      <c r="I309" s="374"/>
      <c r="J309" s="374"/>
      <c r="K309" s="375"/>
    </row>
    <row r="310" spans="1:11" ht="13.5" customHeight="1">
      <c r="A310" s="373"/>
      <c r="B310" s="374"/>
      <c r="C310" s="374"/>
      <c r="D310" s="374"/>
      <c r="E310" s="374"/>
      <c r="F310" s="374"/>
      <c r="G310" s="374"/>
      <c r="H310" s="374"/>
      <c r="I310" s="374"/>
      <c r="J310" s="374"/>
      <c r="K310" s="375"/>
    </row>
    <row r="311" spans="1:11" ht="13.5" customHeight="1">
      <c r="A311" s="373"/>
      <c r="B311" s="374"/>
      <c r="C311" s="374"/>
      <c r="D311" s="374"/>
      <c r="E311" s="374"/>
      <c r="F311" s="374"/>
      <c r="G311" s="374"/>
      <c r="H311" s="374"/>
      <c r="I311" s="374"/>
      <c r="J311" s="374"/>
      <c r="K311" s="375"/>
    </row>
    <row r="312" spans="1:11" ht="13.5" customHeight="1">
      <c r="A312" s="373"/>
      <c r="B312" s="374"/>
      <c r="C312" s="374"/>
      <c r="D312" s="374"/>
      <c r="E312" s="374"/>
      <c r="F312" s="374"/>
      <c r="G312" s="374"/>
      <c r="H312" s="374"/>
      <c r="I312" s="374"/>
      <c r="J312" s="374"/>
      <c r="K312" s="375"/>
    </row>
    <row r="313" spans="1:11" ht="13.5" customHeight="1">
      <c r="A313" s="373"/>
      <c r="B313" s="374"/>
      <c r="C313" s="374"/>
      <c r="D313" s="374"/>
      <c r="E313" s="374"/>
      <c r="F313" s="374"/>
      <c r="G313" s="374"/>
      <c r="H313" s="374"/>
      <c r="I313" s="374"/>
      <c r="J313" s="374"/>
      <c r="K313" s="375"/>
    </row>
    <row r="314" spans="1:11" ht="13.5" customHeight="1">
      <c r="A314" s="373"/>
      <c r="B314" s="374"/>
      <c r="C314" s="374"/>
      <c r="D314" s="374"/>
      <c r="E314" s="374"/>
      <c r="F314" s="374"/>
      <c r="G314" s="374"/>
      <c r="H314" s="374"/>
      <c r="I314" s="374"/>
      <c r="J314" s="374"/>
      <c r="K314" s="375"/>
    </row>
    <row r="315" spans="1:11" ht="13.5" customHeight="1">
      <c r="A315" s="373"/>
      <c r="B315" s="374"/>
      <c r="C315" s="374"/>
      <c r="D315" s="374"/>
      <c r="E315" s="374"/>
      <c r="F315" s="374"/>
      <c r="G315" s="374"/>
      <c r="H315" s="374"/>
      <c r="I315" s="374"/>
      <c r="J315" s="374"/>
      <c r="K315" s="375"/>
    </row>
    <row r="316" spans="1:11" ht="13.5" customHeight="1">
      <c r="A316" s="373"/>
      <c r="B316" s="374"/>
      <c r="C316" s="374"/>
      <c r="D316" s="374"/>
      <c r="E316" s="374"/>
      <c r="F316" s="374"/>
      <c r="G316" s="374"/>
      <c r="H316" s="374"/>
      <c r="I316" s="374"/>
      <c r="J316" s="374"/>
      <c r="K316" s="375"/>
    </row>
    <row r="317" spans="1:11" ht="14.25" customHeight="1">
      <c r="A317" s="373"/>
      <c r="B317" s="374"/>
      <c r="C317" s="374"/>
      <c r="D317" s="374"/>
      <c r="E317" s="374"/>
      <c r="F317" s="374"/>
      <c r="G317" s="374"/>
      <c r="H317" s="374"/>
      <c r="I317" s="374"/>
      <c r="J317" s="374"/>
      <c r="K317" s="375"/>
    </row>
    <row r="318" spans="1:11" ht="13.5" customHeight="1">
      <c r="A318" s="373"/>
      <c r="B318" s="374"/>
      <c r="C318" s="374"/>
      <c r="D318" s="374"/>
      <c r="E318" s="374"/>
      <c r="F318" s="374"/>
      <c r="G318" s="374"/>
      <c r="H318" s="374"/>
      <c r="I318" s="374"/>
      <c r="J318" s="374"/>
      <c r="K318" s="375"/>
    </row>
    <row r="319" spans="1:11" ht="13.5" customHeight="1">
      <c r="A319" s="373"/>
      <c r="B319" s="374"/>
      <c r="C319" s="374"/>
      <c r="D319" s="374"/>
      <c r="E319" s="374"/>
      <c r="F319" s="374"/>
      <c r="G319" s="374"/>
      <c r="H319" s="374"/>
      <c r="I319" s="374"/>
      <c r="J319" s="374"/>
      <c r="K319" s="375"/>
    </row>
    <row r="320" spans="1:11" ht="14.25" customHeight="1" thickBot="1">
      <c r="A320" s="376"/>
      <c r="B320" s="377"/>
      <c r="C320" s="377"/>
      <c r="D320" s="377"/>
      <c r="E320" s="377"/>
      <c r="F320" s="377"/>
      <c r="G320" s="377"/>
      <c r="H320" s="377"/>
      <c r="I320" s="377"/>
      <c r="J320" s="377"/>
      <c r="K320" s="378"/>
    </row>
    <row r="321" spans="2:13" ht="14.25" customHeight="1" thickBot="1">
      <c r="B321" s="189"/>
      <c r="C321" s="189"/>
      <c r="D321" s="189"/>
      <c r="E321" s="189"/>
      <c r="F321" s="189"/>
      <c r="G321" s="189"/>
      <c r="H321" s="189"/>
      <c r="I321" s="249"/>
      <c r="J321" s="189"/>
    </row>
    <row r="322" spans="2:13" ht="13.5" customHeight="1">
      <c r="B322" s="191" t="s">
        <v>430</v>
      </c>
      <c r="C322" s="189"/>
      <c r="D322" s="189"/>
      <c r="E322" s="189"/>
      <c r="F322" s="264" t="s">
        <v>1047</v>
      </c>
      <c r="G322" s="265"/>
      <c r="H322" s="265"/>
      <c r="I322" s="265"/>
      <c r="J322" s="265"/>
      <c r="K322" s="266"/>
      <c r="L322" s="165"/>
      <c r="M322" s="165"/>
    </row>
    <row r="323" spans="2:13" ht="14.25" customHeight="1">
      <c r="B323" s="73" t="s">
        <v>850</v>
      </c>
      <c r="C323" s="219"/>
      <c r="D323" s="220"/>
      <c r="E323" s="192"/>
      <c r="F323" s="267"/>
      <c r="G323" s="268"/>
      <c r="H323" s="268"/>
      <c r="I323" s="268"/>
      <c r="J323" s="268"/>
      <c r="K323" s="269"/>
      <c r="L323" s="165"/>
      <c r="M323" s="165"/>
    </row>
    <row r="324" spans="2:13" ht="13.5" customHeight="1">
      <c r="B324" s="213" t="s">
        <v>855</v>
      </c>
      <c r="C324" s="221"/>
      <c r="D324" s="222"/>
      <c r="E324" s="194"/>
      <c r="F324" s="267"/>
      <c r="G324" s="268"/>
      <c r="H324" s="268"/>
      <c r="I324" s="268"/>
      <c r="J324" s="268"/>
      <c r="K324" s="269"/>
      <c r="L324" s="165"/>
      <c r="M324" s="165"/>
    </row>
    <row r="325" spans="2:13" ht="13.5" customHeight="1">
      <c r="B325" s="73" t="s">
        <v>851</v>
      </c>
      <c r="C325" s="223"/>
      <c r="D325" s="224"/>
      <c r="E325" s="193"/>
      <c r="F325" s="267"/>
      <c r="G325" s="268"/>
      <c r="H325" s="268"/>
      <c r="I325" s="268"/>
      <c r="J325" s="268"/>
      <c r="K325" s="269"/>
      <c r="L325" s="165"/>
      <c r="M325" s="165"/>
    </row>
    <row r="326" spans="2:13" ht="13.5" customHeight="1">
      <c r="B326" s="73" t="s">
        <v>852</v>
      </c>
      <c r="C326" s="223"/>
      <c r="D326" s="224"/>
      <c r="E326" s="193"/>
      <c r="F326" s="267"/>
      <c r="G326" s="268"/>
      <c r="H326" s="268"/>
      <c r="I326" s="268"/>
      <c r="J326" s="268"/>
      <c r="K326" s="269"/>
      <c r="L326" s="165"/>
      <c r="M326" s="165"/>
    </row>
    <row r="327" spans="2:13" ht="13.5" customHeight="1">
      <c r="B327" s="73" t="s">
        <v>853</v>
      </c>
      <c r="C327" s="223"/>
      <c r="D327" s="224"/>
      <c r="E327" s="193"/>
      <c r="F327" s="267"/>
      <c r="G327" s="268"/>
      <c r="H327" s="268"/>
      <c r="I327" s="268"/>
      <c r="J327" s="268"/>
      <c r="K327" s="269"/>
      <c r="L327" s="165"/>
      <c r="M327" s="165"/>
    </row>
    <row r="328" spans="2:13" ht="13.5" customHeight="1">
      <c r="B328" s="73" t="s">
        <v>854</v>
      </c>
      <c r="C328" s="223"/>
      <c r="D328" s="224"/>
      <c r="E328" s="193"/>
      <c r="F328" s="267"/>
      <c r="G328" s="268"/>
      <c r="H328" s="268"/>
      <c r="I328" s="268"/>
      <c r="J328" s="268"/>
      <c r="K328" s="269"/>
      <c r="L328" s="165"/>
      <c r="M328" s="165"/>
    </row>
    <row r="329" spans="2:13" ht="13.5" customHeight="1">
      <c r="B329" s="191"/>
      <c r="C329" s="190"/>
      <c r="D329" s="190"/>
      <c r="E329" s="190"/>
      <c r="F329" s="267"/>
      <c r="G329" s="268"/>
      <c r="H329" s="268"/>
      <c r="I329" s="268"/>
      <c r="J329" s="268"/>
      <c r="K329" s="269"/>
      <c r="L329" s="165"/>
      <c r="M329" s="165"/>
    </row>
    <row r="330" spans="2:13" ht="13.5" customHeight="1" thickBot="1">
      <c r="B330" s="191"/>
      <c r="C330" s="190"/>
      <c r="D330" s="190"/>
      <c r="E330" s="190"/>
      <c r="F330" s="270"/>
      <c r="G330" s="271"/>
      <c r="H330" s="271"/>
      <c r="I330" s="271"/>
      <c r="J330" s="271"/>
      <c r="K330" s="272"/>
      <c r="L330" s="165"/>
      <c r="M330" s="165"/>
    </row>
    <row r="331" spans="2:13" ht="13.5" customHeight="1">
      <c r="B331" s="191"/>
      <c r="C331" s="190"/>
      <c r="D331" s="190"/>
      <c r="E331" s="190"/>
      <c r="F331" s="190"/>
      <c r="G331" s="190"/>
      <c r="H331" s="190"/>
      <c r="I331" s="250"/>
      <c r="J331" s="190"/>
      <c r="K331" s="190"/>
      <c r="L331" s="165"/>
      <c r="M331" s="165"/>
    </row>
    <row r="332" spans="2:13" ht="13.5" customHeight="1">
      <c r="B332" s="191"/>
      <c r="C332" s="190"/>
      <c r="D332" s="190"/>
      <c r="E332" s="190"/>
      <c r="F332" s="190"/>
      <c r="G332" s="190"/>
      <c r="H332" s="190"/>
      <c r="I332" s="250"/>
      <c r="J332" s="190"/>
      <c r="K332" s="190"/>
      <c r="L332" s="165"/>
      <c r="M332" s="165"/>
    </row>
    <row r="333" spans="2:13" ht="13.5" customHeight="1">
      <c r="B333" s="43"/>
      <c r="C333" s="190"/>
      <c r="D333" s="190"/>
      <c r="E333" s="190"/>
      <c r="F333" s="190"/>
      <c r="G333" s="190"/>
      <c r="H333" s="190"/>
      <c r="I333" s="250"/>
      <c r="J333" s="190"/>
      <c r="K333" s="190"/>
      <c r="L333" s="165"/>
      <c r="M333" s="165"/>
    </row>
    <row r="334" spans="2:13" ht="13.5" customHeight="1">
      <c r="B334" s="43"/>
      <c r="C334" s="190"/>
      <c r="D334" s="190"/>
      <c r="E334" s="190"/>
      <c r="F334" s="190"/>
      <c r="G334" s="190"/>
      <c r="H334" s="190"/>
      <c r="I334" s="250"/>
      <c r="J334" s="190"/>
      <c r="K334" s="190"/>
      <c r="L334" s="165"/>
      <c r="M334" s="165"/>
    </row>
    <row r="335" spans="2:13" ht="13.5" customHeight="1">
      <c r="B335" s="43"/>
      <c r="C335" s="190"/>
      <c r="D335" s="190"/>
      <c r="E335" s="190"/>
      <c r="F335" s="190"/>
      <c r="G335" s="190"/>
      <c r="H335" s="190"/>
      <c r="I335" s="250"/>
      <c r="J335" s="190"/>
      <c r="K335" s="190"/>
      <c r="L335" s="165"/>
      <c r="M335" s="165"/>
    </row>
    <row r="336" spans="2:13" ht="14.25" customHeight="1">
      <c r="C336" s="190"/>
      <c r="D336" s="190"/>
      <c r="E336" s="190"/>
      <c r="F336" s="190"/>
      <c r="G336" s="190"/>
      <c r="H336" s="190"/>
      <c r="I336" s="250"/>
      <c r="J336" s="190"/>
      <c r="K336" s="190"/>
      <c r="L336" s="165"/>
      <c r="M336" s="165"/>
    </row>
  </sheetData>
  <sheetProtection password="DFC2" sheet="1" objects="1" scenarios="1"/>
  <mergeCells count="313">
    <mergeCell ref="F322:K330"/>
    <mergeCell ref="B97:K98"/>
    <mergeCell ref="C301:E301"/>
    <mergeCell ref="F301:H301"/>
    <mergeCell ref="C302:H302"/>
    <mergeCell ref="C303:H303"/>
    <mergeCell ref="A306:K320"/>
    <mergeCell ref="C296:H296"/>
    <mergeCell ref="C297:H297"/>
    <mergeCell ref="C298:H298"/>
    <mergeCell ref="C299:H299"/>
    <mergeCell ref="C300:E300"/>
    <mergeCell ref="F300:H300"/>
    <mergeCell ref="B290:K290"/>
    <mergeCell ref="B291:K291"/>
    <mergeCell ref="B292:K292"/>
    <mergeCell ref="B293:K293"/>
    <mergeCell ref="A294:K294"/>
    <mergeCell ref="A295:K295"/>
    <mergeCell ref="I281:J281"/>
    <mergeCell ref="C282:H282"/>
    <mergeCell ref="C283:H283"/>
    <mergeCell ref="A284:A293"/>
    <mergeCell ref="B284:K284"/>
    <mergeCell ref="B285:K285"/>
    <mergeCell ref="B286:K286"/>
    <mergeCell ref="B287:K287"/>
    <mergeCell ref="B288:K288"/>
    <mergeCell ref="B289:K289"/>
    <mergeCell ref="C275:H275"/>
    <mergeCell ref="I276:J276"/>
    <mergeCell ref="C277:H277"/>
    <mergeCell ref="C278:H278"/>
    <mergeCell ref="C279:H279"/>
    <mergeCell ref="C280:H280"/>
    <mergeCell ref="C269:H269"/>
    <mergeCell ref="C270:H270"/>
    <mergeCell ref="I271:J271"/>
    <mergeCell ref="C272:H272"/>
    <mergeCell ref="C273:H273"/>
    <mergeCell ref="C274:H274"/>
    <mergeCell ref="C263:H263"/>
    <mergeCell ref="C264:H264"/>
    <mergeCell ref="C265:H265"/>
    <mergeCell ref="I266:J266"/>
    <mergeCell ref="C267:H267"/>
    <mergeCell ref="C268:H268"/>
    <mergeCell ref="C257:H257"/>
    <mergeCell ref="C258:H258"/>
    <mergeCell ref="C259:H259"/>
    <mergeCell ref="C260:H260"/>
    <mergeCell ref="I261:J261"/>
    <mergeCell ref="C262:H262"/>
    <mergeCell ref="I251:J251"/>
    <mergeCell ref="C252:H252"/>
    <mergeCell ref="C253:H253"/>
    <mergeCell ref="C254:H254"/>
    <mergeCell ref="C255:H255"/>
    <mergeCell ref="I256:J256"/>
    <mergeCell ref="C245:H245"/>
    <mergeCell ref="I246:J246"/>
    <mergeCell ref="C247:H247"/>
    <mergeCell ref="C248:H248"/>
    <mergeCell ref="C249:H249"/>
    <mergeCell ref="C250:H250"/>
    <mergeCell ref="C239:H239"/>
    <mergeCell ref="C240:H240"/>
    <mergeCell ref="I241:J241"/>
    <mergeCell ref="C242:H242"/>
    <mergeCell ref="C243:H243"/>
    <mergeCell ref="C244:H244"/>
    <mergeCell ref="C233:H233"/>
    <mergeCell ref="C234:H234"/>
    <mergeCell ref="C235:H235"/>
    <mergeCell ref="I236:J236"/>
    <mergeCell ref="C237:H237"/>
    <mergeCell ref="C238:H238"/>
    <mergeCell ref="C227:H227"/>
    <mergeCell ref="C228:H228"/>
    <mergeCell ref="C229:H229"/>
    <mergeCell ref="C230:H230"/>
    <mergeCell ref="I231:J231"/>
    <mergeCell ref="C232:H232"/>
    <mergeCell ref="I221:J221"/>
    <mergeCell ref="C222:H222"/>
    <mergeCell ref="C223:H223"/>
    <mergeCell ref="C224:H224"/>
    <mergeCell ref="C225:H225"/>
    <mergeCell ref="I226:J226"/>
    <mergeCell ref="C215:H215"/>
    <mergeCell ref="I216:J216"/>
    <mergeCell ref="C217:H217"/>
    <mergeCell ref="C218:H218"/>
    <mergeCell ref="C219:H219"/>
    <mergeCell ref="C220:H220"/>
    <mergeCell ref="C209:H209"/>
    <mergeCell ref="C210:H210"/>
    <mergeCell ref="I211:J211"/>
    <mergeCell ref="C212:H212"/>
    <mergeCell ref="C213:H213"/>
    <mergeCell ref="C214:H214"/>
    <mergeCell ref="C203:H203"/>
    <mergeCell ref="C204:H204"/>
    <mergeCell ref="C205:H205"/>
    <mergeCell ref="I206:J206"/>
    <mergeCell ref="C207:H207"/>
    <mergeCell ref="C208:H208"/>
    <mergeCell ref="C197:H197"/>
    <mergeCell ref="C198:H198"/>
    <mergeCell ref="C199:H199"/>
    <mergeCell ref="C200:H200"/>
    <mergeCell ref="I201:J201"/>
    <mergeCell ref="C202:H202"/>
    <mergeCell ref="I191:J191"/>
    <mergeCell ref="C192:H192"/>
    <mergeCell ref="C193:H193"/>
    <mergeCell ref="C194:H194"/>
    <mergeCell ref="C195:H195"/>
    <mergeCell ref="I196:J196"/>
    <mergeCell ref="C185:H185"/>
    <mergeCell ref="I186:J186"/>
    <mergeCell ref="C187:H187"/>
    <mergeCell ref="C188:H188"/>
    <mergeCell ref="C189:H189"/>
    <mergeCell ref="C190:H190"/>
    <mergeCell ref="C179:H179"/>
    <mergeCell ref="C180:H180"/>
    <mergeCell ref="I181:J181"/>
    <mergeCell ref="C182:H182"/>
    <mergeCell ref="C183:H183"/>
    <mergeCell ref="C184:H184"/>
    <mergeCell ref="C173:H173"/>
    <mergeCell ref="C174:H174"/>
    <mergeCell ref="C175:H175"/>
    <mergeCell ref="I176:J176"/>
    <mergeCell ref="C177:H177"/>
    <mergeCell ref="C178:H178"/>
    <mergeCell ref="C167:H167"/>
    <mergeCell ref="C168:H168"/>
    <mergeCell ref="C169:H169"/>
    <mergeCell ref="C170:H170"/>
    <mergeCell ref="I171:J171"/>
    <mergeCell ref="C172:H172"/>
    <mergeCell ref="I161:J161"/>
    <mergeCell ref="C162:H162"/>
    <mergeCell ref="C163:H163"/>
    <mergeCell ref="C164:H164"/>
    <mergeCell ref="C165:H165"/>
    <mergeCell ref="I166:J166"/>
    <mergeCell ref="C155:H155"/>
    <mergeCell ref="I156:J156"/>
    <mergeCell ref="C157:H157"/>
    <mergeCell ref="C158:H158"/>
    <mergeCell ref="C159:H159"/>
    <mergeCell ref="C160:H160"/>
    <mergeCell ref="C149:H149"/>
    <mergeCell ref="C150:H150"/>
    <mergeCell ref="I151:J151"/>
    <mergeCell ref="C152:H152"/>
    <mergeCell ref="C153:H153"/>
    <mergeCell ref="C154:H154"/>
    <mergeCell ref="C143:H143"/>
    <mergeCell ref="C144:H144"/>
    <mergeCell ref="C145:H145"/>
    <mergeCell ref="I146:J146"/>
    <mergeCell ref="C147:H147"/>
    <mergeCell ref="C148:H148"/>
    <mergeCell ref="C137:H137"/>
    <mergeCell ref="C138:H138"/>
    <mergeCell ref="C139:H139"/>
    <mergeCell ref="C140:H140"/>
    <mergeCell ref="I141:J141"/>
    <mergeCell ref="C142:H142"/>
    <mergeCell ref="C131:H131"/>
    <mergeCell ref="C132:H132"/>
    <mergeCell ref="C133:H133"/>
    <mergeCell ref="C134:H134"/>
    <mergeCell ref="C135:H135"/>
    <mergeCell ref="I136:J136"/>
    <mergeCell ref="C124:H124"/>
    <mergeCell ref="C125:H125"/>
    <mergeCell ref="C126:H126"/>
    <mergeCell ref="K126:K130"/>
    <mergeCell ref="C127:G127"/>
    <mergeCell ref="C128:G128"/>
    <mergeCell ref="C129:G129"/>
    <mergeCell ref="C130:G130"/>
    <mergeCell ref="C118:H118"/>
    <mergeCell ref="C119:H119"/>
    <mergeCell ref="C120:H120"/>
    <mergeCell ref="C121:H121"/>
    <mergeCell ref="C122:H122"/>
    <mergeCell ref="C123:H123"/>
    <mergeCell ref="A112:K112"/>
    <mergeCell ref="C113:H113"/>
    <mergeCell ref="C114:H114"/>
    <mergeCell ref="C115:H115"/>
    <mergeCell ref="C116:H116"/>
    <mergeCell ref="C117:H117"/>
    <mergeCell ref="C106:H106"/>
    <mergeCell ref="C107:H107"/>
    <mergeCell ref="C108:H108"/>
    <mergeCell ref="B109:K109"/>
    <mergeCell ref="A110:K110"/>
    <mergeCell ref="C111:H111"/>
    <mergeCell ref="C101:H101"/>
    <mergeCell ref="C102:H102"/>
    <mergeCell ref="C103:E103"/>
    <mergeCell ref="F103:H103"/>
    <mergeCell ref="C104:H104"/>
    <mergeCell ref="C105:H105"/>
    <mergeCell ref="C95:H95"/>
    <mergeCell ref="A96:A99"/>
    <mergeCell ref="B96:K96"/>
    <mergeCell ref="B99:K99"/>
    <mergeCell ref="A100:K100"/>
    <mergeCell ref="C89:H89"/>
    <mergeCell ref="C90:H90"/>
    <mergeCell ref="C91:H91"/>
    <mergeCell ref="C92:H92"/>
    <mergeCell ref="C93:H93"/>
    <mergeCell ref="C94:H94"/>
    <mergeCell ref="C83:H83"/>
    <mergeCell ref="C84:H84"/>
    <mergeCell ref="C85:H85"/>
    <mergeCell ref="C86:H86"/>
    <mergeCell ref="C87:H87"/>
    <mergeCell ref="C88:H88"/>
    <mergeCell ref="C77:H77"/>
    <mergeCell ref="C78:H78"/>
    <mergeCell ref="C79:H79"/>
    <mergeCell ref="C80:H80"/>
    <mergeCell ref="C81:H81"/>
    <mergeCell ref="C82:H82"/>
    <mergeCell ref="C71:H71"/>
    <mergeCell ref="C72:H72"/>
    <mergeCell ref="C73:H73"/>
    <mergeCell ref="C74:H74"/>
    <mergeCell ref="C75:H75"/>
    <mergeCell ref="C76:H76"/>
    <mergeCell ref="C65:H65"/>
    <mergeCell ref="C66:H66"/>
    <mergeCell ref="C67:H67"/>
    <mergeCell ref="C68:H68"/>
    <mergeCell ref="C69:H69"/>
    <mergeCell ref="C70:H70"/>
    <mergeCell ref="C59:H59"/>
    <mergeCell ref="C60:H60"/>
    <mergeCell ref="C61:H61"/>
    <mergeCell ref="C62:H62"/>
    <mergeCell ref="C63:H63"/>
    <mergeCell ref="C64:H64"/>
    <mergeCell ref="C53:H53"/>
    <mergeCell ref="C54:H54"/>
    <mergeCell ref="C55:H55"/>
    <mergeCell ref="C56:H56"/>
    <mergeCell ref="C57:H57"/>
    <mergeCell ref="C58:H58"/>
    <mergeCell ref="C48:E48"/>
    <mergeCell ref="F48:H48"/>
    <mergeCell ref="C49:H49"/>
    <mergeCell ref="A50:K50"/>
    <mergeCell ref="C51:H51"/>
    <mergeCell ref="C52:H52"/>
    <mergeCell ref="C43:H43"/>
    <mergeCell ref="C44:H44"/>
    <mergeCell ref="C45:H45"/>
    <mergeCell ref="C46:H46"/>
    <mergeCell ref="C47:E47"/>
    <mergeCell ref="F47:H47"/>
    <mergeCell ref="C37:H37"/>
    <mergeCell ref="A38:K38"/>
    <mergeCell ref="C39:H39"/>
    <mergeCell ref="C40:H40"/>
    <mergeCell ref="C41:H41"/>
    <mergeCell ref="C42:H42"/>
    <mergeCell ref="C33:H33"/>
    <mergeCell ref="C34:H34"/>
    <mergeCell ref="C35:E35"/>
    <mergeCell ref="F35:H35"/>
    <mergeCell ref="C36:E36"/>
    <mergeCell ref="F36:H36"/>
    <mergeCell ref="A27:K27"/>
    <mergeCell ref="C28:H28"/>
    <mergeCell ref="C29:H29"/>
    <mergeCell ref="C30:H30"/>
    <mergeCell ref="C31:H31"/>
    <mergeCell ref="C32:H32"/>
    <mergeCell ref="C22:H22"/>
    <mergeCell ref="C23:H23"/>
    <mergeCell ref="A24:A26"/>
    <mergeCell ref="B24:K24"/>
    <mergeCell ref="B25:K25"/>
    <mergeCell ref="B26:K26"/>
    <mergeCell ref="C16:H16"/>
    <mergeCell ref="C17:H17"/>
    <mergeCell ref="C18:H18"/>
    <mergeCell ref="B19:K19"/>
    <mergeCell ref="A20:K20"/>
    <mergeCell ref="C21:H21"/>
    <mergeCell ref="C11:F11"/>
    <mergeCell ref="C12:H12"/>
    <mergeCell ref="I12:J12"/>
    <mergeCell ref="A13:K13"/>
    <mergeCell ref="C14:H14"/>
    <mergeCell ref="C15:E15"/>
    <mergeCell ref="F15:H15"/>
    <mergeCell ref="A2:H2"/>
    <mergeCell ref="K2:K5"/>
    <mergeCell ref="A6:K6"/>
    <mergeCell ref="C8:H8"/>
    <mergeCell ref="C9:H9"/>
    <mergeCell ref="C10:H10"/>
  </mergeCells>
  <phoneticPr fontId="4"/>
  <conditionalFormatting sqref="J14:J17 J21:J22 J28:J37 J39 J111 J296:J303 J41:J49 I51:J95 I101:J108 J113:J135 I113:I140 J137:J138 I142 I145 I150 I155 I160 I165 I170 I175 I180 I185 I190 I195 I200 I205 I210 I215 I220 I225 I230 I235 I240 I245 I250 I255 I260 I265 I270 I275 I280">
    <cfRule type="containsText" dxfId="124" priority="122" operator="containsText" text="！">
      <formula>NOT(ISERROR(SEARCH("！",I14)))</formula>
    </cfRule>
  </conditionalFormatting>
  <conditionalFormatting sqref="C23 I23">
    <cfRule type="containsText" dxfId="123" priority="121" operator="containsText" text="（">
      <formula>NOT(ISERROR(SEARCH("（",C23)))</formula>
    </cfRule>
  </conditionalFormatting>
  <conditionalFormatting sqref="J139:J140 J142 J145 J150 J155 J160 J165 J170 J175 J180 J185 J190 J195 J200 J205 J210 J215 J220 J225 J230 J235 J240 J245 J250 J255 J260 J265 J270 J275 J280">
    <cfRule type="containsText" dxfId="122" priority="120" operator="containsText" text="！">
      <formula>NOT(ISERROR(SEARCH("！",J139)))</formula>
    </cfRule>
  </conditionalFormatting>
  <conditionalFormatting sqref="I296:I303 I111 I39 I28:I37 I21:I22 I14:I17 I41:I49">
    <cfRule type="containsText" dxfId="121" priority="119" operator="containsText" text="！">
      <formula>NOT(ISERROR(SEARCH("！",I14)))</formula>
    </cfRule>
  </conditionalFormatting>
  <conditionalFormatting sqref="J40">
    <cfRule type="containsText" dxfId="120" priority="118" operator="containsText" text="！">
      <formula>NOT(ISERROR(SEARCH("！",J40)))</formula>
    </cfRule>
  </conditionalFormatting>
  <conditionalFormatting sqref="I40">
    <cfRule type="containsText" dxfId="119" priority="117" operator="containsText" text="！">
      <formula>NOT(ISERROR(SEARCH("！",I40)))</formula>
    </cfRule>
  </conditionalFormatting>
  <conditionalFormatting sqref="C23">
    <cfRule type="containsText" dxfId="118" priority="116" operator="containsText" text="20年アフターパック契約書をご確認ください">
      <formula>NOT(ISERROR(SEARCH("20年アフターパック契約書をご確認ください",C23)))</formula>
    </cfRule>
  </conditionalFormatting>
  <conditionalFormatting sqref="H127">
    <cfRule type="expression" dxfId="117" priority="103">
      <formula>$C127="任意値（右のセルに1～100の値を入力下さい） →"</formula>
    </cfRule>
    <cfRule type="expression" dxfId="116" priority="114">
      <formula>LEFT(C127,6)="デフォルト値"</formula>
    </cfRule>
    <cfRule type="expression" dxfId="115" priority="115">
      <formula>LEFT(E127,6)="デフォルト値"</formula>
    </cfRule>
  </conditionalFormatting>
  <conditionalFormatting sqref="I141">
    <cfRule type="containsText" dxfId="114" priority="113" operator="containsText" text="！">
      <formula>NOT(ISERROR(SEARCH("！",I141)))</formula>
    </cfRule>
  </conditionalFormatting>
  <conditionalFormatting sqref="C17:H17">
    <cfRule type="expression" dxfId="113" priority="112">
      <formula>$I$17="必須"</formula>
    </cfRule>
  </conditionalFormatting>
  <conditionalFormatting sqref="C21:H21">
    <cfRule type="expression" dxfId="112" priority="111">
      <formula>$I$21="必須"</formula>
    </cfRule>
  </conditionalFormatting>
  <conditionalFormatting sqref="C67:H67">
    <cfRule type="expression" dxfId="111" priority="44">
      <formula>$C$63="登録済み"</formula>
    </cfRule>
    <cfRule type="expression" dxfId="110" priority="110">
      <formula>$I67="必須"</formula>
    </cfRule>
  </conditionalFormatting>
  <conditionalFormatting sqref="C68:H69">
    <cfRule type="expression" dxfId="109" priority="109">
      <formula>$I68="必須"</formula>
    </cfRule>
  </conditionalFormatting>
  <conditionalFormatting sqref="C106:H106">
    <cfRule type="expression" dxfId="108" priority="41">
      <formula>$C$102="登録済み"</formula>
    </cfRule>
    <cfRule type="expression" dxfId="107" priority="108">
      <formula>$I106="必須"</formula>
    </cfRule>
  </conditionalFormatting>
  <conditionalFormatting sqref="C107:H108">
    <cfRule type="expression" dxfId="106" priority="107">
      <formula>$I107="必須"</formula>
    </cfRule>
  </conditionalFormatting>
  <conditionalFormatting sqref="C111:H111">
    <cfRule type="expression" dxfId="105" priority="106">
      <formula>$I$111="必須"</formula>
    </cfRule>
  </conditionalFormatting>
  <conditionalFormatting sqref="C127:G130">
    <cfRule type="expression" dxfId="104" priority="123">
      <formula>$I127="必須"</formula>
    </cfRule>
  </conditionalFormatting>
  <conditionalFormatting sqref="C125:H125">
    <cfRule type="expression" dxfId="103" priority="105">
      <formula>$I125="必須"</formula>
    </cfRule>
  </conditionalFormatting>
  <conditionalFormatting sqref="C126:H126">
    <cfRule type="expression" dxfId="102" priority="104">
      <formula>$I126="必須"</formula>
    </cfRule>
  </conditionalFormatting>
  <conditionalFormatting sqref="H128:H130">
    <cfRule type="expression" dxfId="101" priority="100">
      <formula>$C128="任意値（右のセルに1～100の値を入力下さい） →"</formula>
    </cfRule>
    <cfRule type="expression" dxfId="100" priority="101">
      <formula>LEFT(C128,6)="デフォルト値"</formula>
    </cfRule>
    <cfRule type="expression" dxfId="99" priority="102">
      <formula>LEFT(E128,6)="デフォルト値"</formula>
    </cfRule>
  </conditionalFormatting>
  <conditionalFormatting sqref="C132:H132">
    <cfRule type="expression" dxfId="98" priority="99">
      <formula>$C$131="有り"</formula>
    </cfRule>
  </conditionalFormatting>
  <conditionalFormatting sqref="C133:H133">
    <cfRule type="expression" dxfId="97" priority="98">
      <formula>$C$131="有り"</formula>
    </cfRule>
  </conditionalFormatting>
  <conditionalFormatting sqref="C138:H138">
    <cfRule type="expression" dxfId="96" priority="97">
      <formula>$I138="必須"</formula>
    </cfRule>
  </conditionalFormatting>
  <conditionalFormatting sqref="C142:H142">
    <cfRule type="expression" dxfId="95" priority="95">
      <formula>$I142="必須"</formula>
    </cfRule>
  </conditionalFormatting>
  <conditionalFormatting sqref="C147:H147 C145:H145">
    <cfRule type="expression" dxfId="94" priority="94">
      <formula>$B145&lt;&gt;""</formula>
    </cfRule>
  </conditionalFormatting>
  <conditionalFormatting sqref="C147:H147">
    <cfRule type="expression" dxfId="93" priority="92">
      <formula>$I147="必須"</formula>
    </cfRule>
  </conditionalFormatting>
  <conditionalFormatting sqref="C282:H282 C150:H150 C152:H152 C157:H157 C162:H162 C167:H167 C172:H172 C177:H177 C182:H182 C187:H187 C192:H192 C197:H197 C202:H202 C207:H207 C212:H212 C217:H217 C222:H222 C227:H227 C232:H232 C237:H237 C242:H242 C247:H247 C252:H252 C257:H257 C262:H262 C267:H267 C272:H272 C277:H277 C155:H155 C160:H160 C165:H165 C170:H170 C175:H175 C180:H180 C185:H185 C190:H190 C195:H195 C200:H200 C205:H205 C210:H210 C215:H215 C220:H220 C225:H225 C230:H230 C235:H235 C240:H240 C245:H245 C250:H250 C255:H255 C260:H260 C265:H265 C270:H270 C275:H275 C280:H280">
    <cfRule type="expression" dxfId="92" priority="91">
      <formula>$B150&lt;&gt;""</formula>
    </cfRule>
  </conditionalFormatting>
  <conditionalFormatting sqref="C152:H152 C157:H157 C162:H162 C167:H167 C172:H172 C177:H177 C182:H182 C187:H187 C192:H192 C197:H197 C202:H202 C207:H207 C212:H212 C217:H217 C222:H222 C227:H227 C232:H232 C237:H237 C242:H242 C247:H247 C252:H252 C257:H257 C262:H262 C267:H267 C272:H272 C277:H277 C282:H282">
    <cfRule type="expression" dxfId="91" priority="89">
      <formula>$I152="必須"</formula>
    </cfRule>
  </conditionalFormatting>
  <conditionalFormatting sqref="H136 F136">
    <cfRule type="expression" dxfId="90" priority="88">
      <formula>$I$136="必須"</formula>
    </cfRule>
  </conditionalFormatting>
  <conditionalFormatting sqref="C140:H140">
    <cfRule type="expression" dxfId="89" priority="87">
      <formula>$B140&lt;&gt;""</formula>
    </cfRule>
  </conditionalFormatting>
  <conditionalFormatting sqref="C297:H297">
    <cfRule type="expression" dxfId="88" priority="86">
      <formula>$I297="必須"</formula>
    </cfRule>
  </conditionalFormatting>
  <conditionalFormatting sqref="C302:H303 C298:H299">
    <cfRule type="expression" dxfId="87" priority="85">
      <formula>$I298="必須"</formula>
    </cfRule>
  </conditionalFormatting>
  <conditionalFormatting sqref="C300:E300">
    <cfRule type="expression" dxfId="86" priority="84">
      <formula>$I300="必須"</formula>
    </cfRule>
  </conditionalFormatting>
  <conditionalFormatting sqref="F300:H301 C301:E301">
    <cfRule type="expression" dxfId="85" priority="83">
      <formula>$I300="必須"</formula>
    </cfRule>
  </conditionalFormatting>
  <conditionalFormatting sqref="F141">
    <cfRule type="expression" dxfId="84" priority="50">
      <formula>$I141="必須"</formula>
    </cfRule>
    <cfRule type="expression" dxfId="83" priority="82">
      <formula>$B141&lt;&gt;""</formula>
    </cfRule>
  </conditionalFormatting>
  <conditionalFormatting sqref="H141">
    <cfRule type="expression" dxfId="82" priority="49">
      <formula>$I141="必須"</formula>
    </cfRule>
    <cfRule type="expression" dxfId="81" priority="81">
      <formula>$B141&lt;&gt;""</formula>
    </cfRule>
  </conditionalFormatting>
  <conditionalFormatting sqref="C283:H283 C278:H278 C273:H273 C268:H268 C263:H263 C258:H258 C253:H253 C248:H248 C243:H243 C238:H238 C233:H233 C228:H228 C223:H223 C218:H218 C213:H213 C208:H208 C203:H203 C198:H198 C193:H193 C188:H188 C183:H183 C178:H178 C173:H173 C168:H168 C163:H163 C158:H158 C153:H153 C148:H148 C143:H143">
    <cfRule type="expression" dxfId="80" priority="80">
      <formula>$I143="必須"</formula>
    </cfRule>
  </conditionalFormatting>
  <conditionalFormatting sqref="D141">
    <cfRule type="expression" dxfId="79" priority="79">
      <formula>$B141&lt;&gt;""</formula>
    </cfRule>
  </conditionalFormatting>
  <conditionalFormatting sqref="D146">
    <cfRule type="expression" dxfId="78" priority="78">
      <formula>$B146&lt;&gt;""</formula>
    </cfRule>
  </conditionalFormatting>
  <conditionalFormatting sqref="D151">
    <cfRule type="expression" dxfId="77" priority="77">
      <formula>$B151&lt;&gt;""</formula>
    </cfRule>
  </conditionalFormatting>
  <conditionalFormatting sqref="D156">
    <cfRule type="expression" dxfId="76" priority="76">
      <formula>$B156&lt;&gt;""</formula>
    </cfRule>
  </conditionalFormatting>
  <conditionalFormatting sqref="D161">
    <cfRule type="expression" dxfId="75" priority="75">
      <formula>$B161&lt;&gt;""</formula>
    </cfRule>
  </conditionalFormatting>
  <conditionalFormatting sqref="D166">
    <cfRule type="expression" dxfId="74" priority="74">
      <formula>$B166&lt;&gt;""</formula>
    </cfRule>
  </conditionalFormatting>
  <conditionalFormatting sqref="D171">
    <cfRule type="expression" dxfId="73" priority="73">
      <formula>$B171&lt;&gt;""</formula>
    </cfRule>
  </conditionalFormatting>
  <conditionalFormatting sqref="D176">
    <cfRule type="expression" dxfId="72" priority="72">
      <formula>$B176&lt;&gt;""</formula>
    </cfRule>
  </conditionalFormatting>
  <conditionalFormatting sqref="D181">
    <cfRule type="expression" dxfId="71" priority="71">
      <formula>$B181&lt;&gt;""</formula>
    </cfRule>
  </conditionalFormatting>
  <conditionalFormatting sqref="D186">
    <cfRule type="expression" dxfId="70" priority="70">
      <formula>$B186&lt;&gt;""</formula>
    </cfRule>
  </conditionalFormatting>
  <conditionalFormatting sqref="D191">
    <cfRule type="expression" dxfId="69" priority="69">
      <formula>$B191&lt;&gt;""</formula>
    </cfRule>
  </conditionalFormatting>
  <conditionalFormatting sqref="D196">
    <cfRule type="expression" dxfId="68" priority="68">
      <formula>$B196&lt;&gt;""</formula>
    </cfRule>
  </conditionalFormatting>
  <conditionalFormatting sqref="D201">
    <cfRule type="expression" dxfId="67" priority="67">
      <formula>$B201&lt;&gt;""</formula>
    </cfRule>
  </conditionalFormatting>
  <conditionalFormatting sqref="D206">
    <cfRule type="expression" dxfId="66" priority="66">
      <formula>$B206&lt;&gt;""</formula>
    </cfRule>
  </conditionalFormatting>
  <conditionalFormatting sqref="D211">
    <cfRule type="expression" dxfId="65" priority="65">
      <formula>$B211&lt;&gt;""</formula>
    </cfRule>
  </conditionalFormatting>
  <conditionalFormatting sqref="D216">
    <cfRule type="expression" dxfId="64" priority="64">
      <formula>$B216&lt;&gt;""</formula>
    </cfRule>
  </conditionalFormatting>
  <conditionalFormatting sqref="D221">
    <cfRule type="expression" dxfId="63" priority="63">
      <formula>$B221&lt;&gt;""</formula>
    </cfRule>
  </conditionalFormatting>
  <conditionalFormatting sqref="D226">
    <cfRule type="expression" dxfId="62" priority="62">
      <formula>$B226&lt;&gt;""</formula>
    </cfRule>
  </conditionalFormatting>
  <conditionalFormatting sqref="D231">
    <cfRule type="expression" dxfId="61" priority="61">
      <formula>$B231&lt;&gt;""</formula>
    </cfRule>
  </conditionalFormatting>
  <conditionalFormatting sqref="D236">
    <cfRule type="expression" dxfId="60" priority="60">
      <formula>$B236&lt;&gt;""</formula>
    </cfRule>
  </conditionalFormatting>
  <conditionalFormatting sqref="D241">
    <cfRule type="expression" dxfId="59" priority="59">
      <formula>$B241&lt;&gt;""</formula>
    </cfRule>
  </conditionalFormatting>
  <conditionalFormatting sqref="D246">
    <cfRule type="expression" dxfId="58" priority="58">
      <formula>$B246&lt;&gt;""</formula>
    </cfRule>
  </conditionalFormatting>
  <conditionalFormatting sqref="D251">
    <cfRule type="expression" dxfId="57" priority="57">
      <formula>$B251&lt;&gt;""</formula>
    </cfRule>
  </conditionalFormatting>
  <conditionalFormatting sqref="D256">
    <cfRule type="expression" dxfId="56" priority="56">
      <formula>$B256&lt;&gt;""</formula>
    </cfRule>
  </conditionalFormatting>
  <conditionalFormatting sqref="D261">
    <cfRule type="expression" dxfId="55" priority="55">
      <formula>$B261&lt;&gt;""</formula>
    </cfRule>
  </conditionalFormatting>
  <conditionalFormatting sqref="D266">
    <cfRule type="expression" dxfId="54" priority="54">
      <formula>$B266&lt;&gt;""</formula>
    </cfRule>
  </conditionalFormatting>
  <conditionalFormatting sqref="D271">
    <cfRule type="expression" dxfId="53" priority="53">
      <formula>$B271&lt;&gt;""</formula>
    </cfRule>
  </conditionalFormatting>
  <conditionalFormatting sqref="D276">
    <cfRule type="expression" dxfId="52" priority="52">
      <formula>$B276&lt;&gt;""</formula>
    </cfRule>
  </conditionalFormatting>
  <conditionalFormatting sqref="D281">
    <cfRule type="expression" dxfId="51" priority="51">
      <formula>$B281&lt;&gt;""</formula>
    </cfRule>
  </conditionalFormatting>
  <conditionalFormatting sqref="F281 F276 F271 F266 F261 F256 F251 F246 F241 F236 F231 F226 F221 F216 F211 F206 F201 F196 F191 F186 F181 F176 F171 F166 F161 F156 F151 F146">
    <cfRule type="expression" dxfId="50" priority="47">
      <formula>$I146="必須"</formula>
    </cfRule>
    <cfRule type="expression" dxfId="49" priority="48">
      <formula>$B146&lt;&gt;""</formula>
    </cfRule>
  </conditionalFormatting>
  <conditionalFormatting sqref="H281 H276 H271 H266 H261 H256 H251 H246 H241 H236 H231 H226 H221 H216 H211 H206 H201 H196 H191 H186 H181 H176 H171 H166 H161 H156 H151 H146">
    <cfRule type="expression" dxfId="48" priority="45">
      <formula>$I146="必須"</formula>
    </cfRule>
    <cfRule type="expression" dxfId="47" priority="46">
      <formula>$B146&lt;&gt;""</formula>
    </cfRule>
  </conditionalFormatting>
  <conditionalFormatting sqref="C68:H68">
    <cfRule type="expression" dxfId="46" priority="43">
      <formula>$C$63="登録済み"</formula>
    </cfRule>
  </conditionalFormatting>
  <conditionalFormatting sqref="C69:H69">
    <cfRule type="expression" dxfId="45" priority="42">
      <formula>$C$63="登録済み"</formula>
    </cfRule>
  </conditionalFormatting>
  <conditionalFormatting sqref="C107:H107">
    <cfRule type="expression" dxfId="44" priority="40">
      <formula>$C$102="登録済み"</formula>
    </cfRule>
  </conditionalFormatting>
  <conditionalFormatting sqref="C108:H108">
    <cfRule type="expression" dxfId="43" priority="39">
      <formula>$C$102="登録済み"</formula>
    </cfRule>
  </conditionalFormatting>
  <conditionalFormatting sqref="C28:H28">
    <cfRule type="expression" dxfId="42" priority="38">
      <formula>$I28="必須"</formula>
    </cfRule>
  </conditionalFormatting>
  <conditionalFormatting sqref="C29:H29">
    <cfRule type="expression" dxfId="41" priority="37">
      <formula>$I29="必須"</formula>
    </cfRule>
  </conditionalFormatting>
  <conditionalFormatting sqref="C30:H30">
    <cfRule type="expression" dxfId="40" priority="36">
      <formula>$I30="必須"</formula>
    </cfRule>
  </conditionalFormatting>
  <conditionalFormatting sqref="C31:H31">
    <cfRule type="expression" dxfId="39" priority="35">
      <formula>$I31="必須"</formula>
    </cfRule>
  </conditionalFormatting>
  <conditionalFormatting sqref="C32:H32">
    <cfRule type="expression" dxfId="38" priority="34">
      <formula>$I32="必須"</formula>
    </cfRule>
  </conditionalFormatting>
  <conditionalFormatting sqref="C33:H33">
    <cfRule type="expression" dxfId="37" priority="33">
      <formula>$I33="必須"</formula>
    </cfRule>
  </conditionalFormatting>
  <conditionalFormatting sqref="C34:H34">
    <cfRule type="expression" dxfId="36" priority="32">
      <formula>$I34="必須"</formula>
    </cfRule>
  </conditionalFormatting>
  <conditionalFormatting sqref="C35:E35">
    <cfRule type="expression" dxfId="35" priority="31">
      <formula>$I35="必須"</formula>
    </cfRule>
  </conditionalFormatting>
  <conditionalFormatting sqref="F35:H35">
    <cfRule type="expression" dxfId="34" priority="30">
      <formula>$I35="必須"</formula>
    </cfRule>
  </conditionalFormatting>
  <conditionalFormatting sqref="C36:E36">
    <cfRule type="expression" dxfId="33" priority="29">
      <formula>$I36="必須"</formula>
    </cfRule>
  </conditionalFormatting>
  <conditionalFormatting sqref="F36:H36">
    <cfRule type="expression" dxfId="32" priority="28">
      <formula>$I36="必須"</formula>
    </cfRule>
  </conditionalFormatting>
  <conditionalFormatting sqref="C37:H37">
    <cfRule type="expression" dxfId="31" priority="27">
      <formula>$I37="必須"</formula>
    </cfRule>
  </conditionalFormatting>
  <conditionalFormatting sqref="C40:H40">
    <cfRule type="expression" dxfId="30" priority="26">
      <formula>$I40="必須"</formula>
    </cfRule>
  </conditionalFormatting>
  <conditionalFormatting sqref="C41:H41">
    <cfRule type="expression" dxfId="29" priority="25">
      <formula>$I41="必須"</formula>
    </cfRule>
  </conditionalFormatting>
  <conditionalFormatting sqref="C42:H42">
    <cfRule type="expression" dxfId="28" priority="24">
      <formula>$I42="必須"</formula>
    </cfRule>
  </conditionalFormatting>
  <conditionalFormatting sqref="C43:H43">
    <cfRule type="expression" dxfId="27" priority="23">
      <formula>$I43="必須"</formula>
    </cfRule>
  </conditionalFormatting>
  <conditionalFormatting sqref="C44:H44">
    <cfRule type="expression" dxfId="26" priority="22">
      <formula>$I44="必須"</formula>
    </cfRule>
  </conditionalFormatting>
  <conditionalFormatting sqref="C45:H45">
    <cfRule type="expression" dxfId="25" priority="21">
      <formula>$I45="必須"</formula>
    </cfRule>
  </conditionalFormatting>
  <conditionalFormatting sqref="C46:H46">
    <cfRule type="expression" dxfId="24" priority="20">
      <formula>$I46="必須"</formula>
    </cfRule>
  </conditionalFormatting>
  <conditionalFormatting sqref="C47:E47">
    <cfRule type="expression" dxfId="23" priority="19">
      <formula>$I47="必須"</formula>
    </cfRule>
  </conditionalFormatting>
  <conditionalFormatting sqref="F47:H47">
    <cfRule type="expression" dxfId="22" priority="18">
      <formula>$I47="必須"</formula>
    </cfRule>
  </conditionalFormatting>
  <conditionalFormatting sqref="C48:E48">
    <cfRule type="expression" dxfId="21" priority="17">
      <formula>$I48="必須"</formula>
    </cfRule>
  </conditionalFormatting>
  <conditionalFormatting sqref="F48:H48">
    <cfRule type="expression" dxfId="20" priority="16">
      <formula>$I48="必須"</formula>
    </cfRule>
  </conditionalFormatting>
  <conditionalFormatting sqref="C49:H49">
    <cfRule type="expression" dxfId="19" priority="15">
      <formula>$I49="必須"</formula>
    </cfRule>
  </conditionalFormatting>
  <conditionalFormatting sqref="I14:I18 I21:I23 I28:I37 I39:I49 I51:I95 I296:I303 I113:I142 I101:I108 I111 I145 I150 I155 I160 I165 I170 I175 I180 I185 I190 I195 I200 I205 I210 I215 I220 I225 I230 I235 I240 I245 I250 I255 I260 I265 I270 I275 I280">
    <cfRule type="containsText" dxfId="18" priority="14" operator="containsText" text="必須">
      <formula>NOT(ISERROR(SEARCH("必須",I14)))</formula>
    </cfRule>
  </conditionalFormatting>
  <conditionalFormatting sqref="I281 I276 I271 I266 I261 I256 I251 I246 I241 I236 I231 I226 I221 I216 I211 I206 I201 I196 I191 I186 I181 I176 I171 I166 I161 I156 I151 I146">
    <cfRule type="containsText" dxfId="17" priority="13" operator="containsText" text="！">
      <formula>NOT(ISERROR(SEARCH("！",I146)))</formula>
    </cfRule>
  </conditionalFormatting>
  <conditionalFormatting sqref="I281 I276 I271 I266 I261 I256 I251 I246 I241 I236 I231 I226 I221 I216 I211 I206 I201 I196 I191 I186 I181 I176 I171 I166 I161 I156 I151 I146">
    <cfRule type="containsText" dxfId="16" priority="12" operator="containsText" text="必須">
      <formula>NOT(ISERROR(SEARCH("必須",I146)))</formula>
    </cfRule>
  </conditionalFormatting>
  <conditionalFormatting sqref="I106:I108">
    <cfRule type="containsText" dxfId="15" priority="11" operator="containsText" text="！">
      <formula>NOT(ISERROR(SEARCH("！",I106)))</formula>
    </cfRule>
  </conditionalFormatting>
  <conditionalFormatting sqref="I111">
    <cfRule type="containsText" dxfId="14" priority="10" operator="containsText" text="！">
      <formula>NOT(ISERROR(SEARCH("！",I111)))</formula>
    </cfRule>
  </conditionalFormatting>
  <conditionalFormatting sqref="I111">
    <cfRule type="containsText" dxfId="13" priority="9" operator="containsText" text="！">
      <formula>NOT(ISERROR(SEARCH("！",I111)))</formula>
    </cfRule>
  </conditionalFormatting>
  <conditionalFormatting sqref="I283:J283 I278:J278 I273:J273 I268:J268 I263:J263 I258:J258 I253:J253 I248:J248 I243:J243 I238:J238 I233:J233 I228:J228 I223:J223 I218:J218 I213:J213 I208:J208 I203:J203 I198:J198 I193:J193 I188:J188 I183:J183 I178:J178 I173:J173 I168:J168 I163:J163 I158:J158 I153:J153 I148:J148 I143:J143">
    <cfRule type="containsText" dxfId="12" priority="8" operator="containsText" text="！">
      <formula>NOT(ISERROR(SEARCH("！",I143)))</formula>
    </cfRule>
  </conditionalFormatting>
  <conditionalFormatting sqref="I283 I278 I273 I268 I263 I258 I253 I248 I243 I238 I233 I228 I223 I218 I213 I208 I203 I198 I193 I188 I183 I178 I173 I168 I163 I158 I153 I148 I143">
    <cfRule type="containsText" dxfId="11" priority="7" operator="containsText" text="必須">
      <formula>NOT(ISERROR(SEARCH("必須",I143)))</formula>
    </cfRule>
  </conditionalFormatting>
  <conditionalFormatting sqref="I282 I277 I272 I267 I262 I257 I252 I247 I242 I237 I232 I227 I222 I217 I212 I207 I202 I197 I192 I187 I182 I177 I172 I167 I162 I157 I152 I147">
    <cfRule type="containsText" dxfId="10" priority="6" operator="containsText" text="！">
      <formula>NOT(ISERROR(SEARCH("！",I147)))</formula>
    </cfRule>
  </conditionalFormatting>
  <conditionalFormatting sqref="J282 J277 J272 J267 J262 J257 J252 J247 J242 J237 J232 J227 J222 J217 J212 J207 J202 J197 J192 J187 J182 J177 J172 J167 J162 J157 J152 J147">
    <cfRule type="containsText" dxfId="9" priority="5" operator="containsText" text="！">
      <formula>NOT(ISERROR(SEARCH("！",J147)))</formula>
    </cfRule>
  </conditionalFormatting>
  <conditionalFormatting sqref="I282 I277 I272 I267 I262 I257 I252 I247 I242 I237 I232 I227 I222 I217 I212 I207 I202 I197 I192 I187 I182 I177 I172 I167 I162 I157 I152 I147">
    <cfRule type="containsText" dxfId="8" priority="4" operator="containsText" text="必須">
      <formula>NOT(ISERROR(SEARCH("必須",I147)))</formula>
    </cfRule>
  </conditionalFormatting>
  <conditionalFormatting sqref="I279 I274 I269 I264 I259 I254 I249 I244 I239 I234 I229 I224 I219 I214 I209 I204 I199 I194 I189 I184 I179 I174 I169 I164 I159 I154 I149 I144">
    <cfRule type="containsText" dxfId="7" priority="3" operator="containsText" text="！">
      <formula>NOT(ISERROR(SEARCH("！",I144)))</formula>
    </cfRule>
  </conditionalFormatting>
  <conditionalFormatting sqref="J279 J274 J269 J264 J259 J254 J249 J244 J239 J234 J229 J224 J219 J214 J209 J204 J199 J194 J189 J184 J179 J174 J169 J164 J159 J154 J149 J144">
    <cfRule type="containsText" dxfId="6" priority="2" operator="containsText" text="！">
      <formula>NOT(ISERROR(SEARCH("！",J144)))</formula>
    </cfRule>
  </conditionalFormatting>
  <conditionalFormatting sqref="I279 I274 I269 I264 I259 I254 I249 I244 I239 I234 I229 I224 I219 I214 I209 I204 I199 I194 I189 I184 I179 I174 I169 I164 I159 I154 I149 I144">
    <cfRule type="containsText" dxfId="5" priority="1" operator="containsText" text="必須">
      <formula>NOT(ISERROR(SEARCH("必須",I144)))</formula>
    </cfRule>
  </conditionalFormatting>
  <dataValidations count="29">
    <dataValidation type="list" imeMode="halfAlpha" allowBlank="1" showInputMessage="1" showErrorMessage="1" sqref="C133:H133">
      <formula1>"5,6,7,8,9,10"</formula1>
    </dataValidation>
    <dataValidation type="list" allowBlank="1" showInputMessage="1" showErrorMessage="1" sqref="C296">
      <formula1>"注文済みです,現地初期設定サービス（有料）の見積りを依頼します,遠隔初期設定サービス（有料）の見積りを依頼します,不要です"</formula1>
    </dataValidation>
    <dataValidation type="list" imeMode="halfAlpha" allowBlank="1" showInputMessage="1" showErrorMessage="1" sqref="C129:G130">
      <formula1>"デフォルト値（70）,任意値（右のセルに1～100の値を入力下さい） →"</formula1>
    </dataValidation>
    <dataValidation type="list" imeMode="halfAlpha" allowBlank="1" showInputMessage="1" showErrorMessage="1" sqref="C127:G128">
      <formula1>"デフォルト値（50）,任意値（右のセルに1～100の値を入力下さい） →"</formula1>
    </dataValidation>
    <dataValidation type="list" imeMode="halfAlpha" allowBlank="1" showInputMessage="1" showErrorMessage="1" sqref="C126">
      <formula1>"デフォルト（通知する）,通知しない"</formula1>
    </dataValidation>
    <dataValidation imeMode="halfAlpha" allowBlank="1" showInputMessage="1" showErrorMessage="1" prompt="数値のみ記入_x000a_（単位は記入しないでください）" sqref="C120 C115 C117 C123"/>
    <dataValidation type="list" allowBlank="1" showInputMessage="1" showErrorMessage="1" sqref="C18">
      <formula1>"SIMカード方式,LAN接続方式"</formula1>
    </dataValidation>
    <dataValidation type="list" imeMode="halfAlpha" allowBlank="1" showInputMessage="1" showErrorMessage="1" sqref="C39">
      <formula1>"同じ,違う"</formula1>
    </dataValidation>
    <dataValidation type="list" allowBlank="1" showInputMessage="1" showErrorMessage="1" sqref="C138:H138 C278:H278 C143:H143 C148:H148 C153:H153 C158:H158 C163:H163 C168:H168 C173:H173 C178:H178 C183:H183 C188:H188 C193:H193 C198:H198 C203:H203 C208:H208 C213:H213 C218:H218 C223:H223 C228:H228 C233:H233 C238:H238 C243:H243 C248:H248 C253:H253 C258:H258 C263:H263 C268:H268 C273:H273 C283:H283">
      <formula1>"する,しない"</formula1>
    </dataValidation>
    <dataValidation imeMode="hiragana" allowBlank="1" showInputMessage="1" showErrorMessage="1" prompt="個人名の場合、氏／名の間にスペースを入れてください。" sqref="C64 C62 C101"/>
    <dataValidation imeMode="hiragana" allowBlank="1" showInputMessage="1" showErrorMessage="1" prompt="氏" sqref="C103 C36 C301 C48"/>
    <dataValidation imeMode="fullKatakana" allowBlank="1" showInputMessage="1" showErrorMessage="1" prompt="　　名_x000a_（フリガナ）" sqref="F300 F35 F47"/>
    <dataValidation imeMode="fullKatakana" allowBlank="1" showInputMessage="1" showErrorMessage="1" prompt="　　氏_x000a_（フリガナ）" sqref="C35 C300 C47"/>
    <dataValidation imeMode="hiragana" allowBlank="1" showInputMessage="1" showErrorMessage="1" prompt="名" sqref="F103 F301 F36 F48"/>
    <dataValidation type="list" allowBlank="1" showInputMessage="1" showErrorMessage="1" sqref="C131">
      <formula1>"有り,無し"</formula1>
    </dataValidation>
    <dataValidation type="list" allowBlank="1" showInputMessage="1" showErrorMessage="1" sqref="C116">
      <formula1>"3相3線,単相3線"</formula1>
    </dataValidation>
    <dataValidation type="list" allowBlank="1" showInputMessage="1" showErrorMessage="1" sqref="C111">
      <formula1>"５項記載の発電事業オーナー様,６項記載の保守責任事業者様"</formula1>
    </dataValidation>
    <dataValidation type="list" allowBlank="1" showInputMessage="1" showErrorMessage="1" sqref="C67:C69 C106:C108">
      <formula1>"通知あり,通知なし"</formula1>
    </dataValidation>
    <dataValidation type="list" allowBlank="1" showInputMessage="1" showErrorMessage="1" sqref="C61">
      <formula1>"世界測地系,日本測地系"</formula1>
    </dataValidation>
    <dataValidation imeMode="hiragana" allowBlank="1" showInputMessage="1" showErrorMessage="1" sqref="C85 C82 C31 C94 C34 C53 C56 C88 C91 C58 C70 C73 C76 C79 C299 C43 C46"/>
    <dataValidation imeMode="fullKatakana" allowBlank="1" showInputMessage="1" showErrorMessage="1" sqref="C90 C87 C30 C93 C33 C52 C57 C72 C75 C78 C81 C84 C298 C42 C45"/>
    <dataValidation type="list" allowBlank="1" showInputMessage="1" showErrorMessage="1" sqref="C32 C44">
      <formula1>"個人,法人"</formula1>
    </dataValidation>
    <dataValidation type="list" allowBlank="1" showInputMessage="1" showErrorMessage="1" sqref="C297">
      <formula1>"３項記載内容と同じです,４項記載内容と同じです,下記連絡先になります"</formula1>
    </dataValidation>
    <dataValidation type="list" allowBlank="1" showInputMessage="1" showErrorMessage="1" sqref="C122">
      <formula1>"0,10,20,30,40,50,60,70,80,90"</formula1>
    </dataValidation>
    <dataValidation type="list" allowBlank="1" showInputMessage="1" showErrorMessage="1" sqref="C121">
      <formula1>"0,15,30,45,60,75,90,105,120,135,150,165,180"</formula1>
    </dataValidation>
    <dataValidation type="list" allowBlank="1" showInputMessage="1" showErrorMessage="1" sqref="C124">
      <formula1>"無し,有り"</formula1>
    </dataValidation>
    <dataValidation imeMode="halfAlpha" allowBlank="1" showInputMessage="1" showErrorMessage="1" sqref="C14 C113:C114 C17 C21:C22 C28:C29 C92 C125 C54:C55 C65:C66 C74 C77 C80 C83 C86 C89 F15 C95 C59:C60 C104:C105 C37 C302:C303 C132 D136 F136 H136 C280:H280 D276 F271 D141 F141 H141 C282:H282 D281 F276 D146 H276 F281 D151 F146 H146 D156 F151 H151 D161 F156 H156 D166 F161 H161 D171 F166 H166 D176 F171 H171 D181 F176 H176 D186 F181 H181 D191 F186 H186 D196 F191 H191 D201 F196 H196 D206 F201 H201 D211 F206 H206 D216 F211 H211 D221 F216 H216 D226 F221 H221 D231 F226 H226 D236 F231 H231 D241 F236 H236 D246 F241 H241 D251 F246 H246 D256 F251 H251 D261 F256 H256 D266 F261 H261 D271 F266 H266 C135:H135 C140:H140 C145:H145 C150:H150 C155:H155 C160:H160 C165:H165 C170:H170 C175:H175 C180:H180 C185:H185 C190:H190 C195:H195 C200:H200 C205:H205 C210:H210 C215:H215 C220:H220 C225:H225 C230:H230 C235:H235 C240:H240 C245:H245 C250:H250 C255:H255 C260:H260 C265:H265 C270:H270 C275:H275 H271 C137:H137 C142:H142 C147:H147 C152:H152 C157:H157 C162:H162 C167:H167 C172:H172 C177:H177 C182:H182 C187:H187 C192:H192 C197:H197 C202:H202 C207:H207 C212:H212 C217:H217 C222:H222 C227:H227 C232:H232 C237:H237 C242:H242 C247:H247 C252:H252 C257:H257 C262:H262 C267:H267 C272:H272 C277:H277 H281 C323:D328 C40:C41 C49"/>
    <dataValidation type="list" allowBlank="1" showInputMessage="1" showErrorMessage="1" sqref="C51">
      <formula1>"北海道電力,東北電力,東京電力,北陸電力,中部電力,関西電力,中国電力,四国電力,九州電力,沖縄電力"</formula1>
    </dataValidation>
    <dataValidation type="list" allowBlank="1" showInputMessage="1" showErrorMessage="1" sqref="C63 C71 C102">
      <formula1>"新規登録,登録済み"</formula1>
    </dataValidation>
  </dataValidations>
  <hyperlinks>
    <hyperlink ref="C303" r:id="rId1"/>
  </hyperlinks>
  <pageMargins left="0.55118110236220474" right="0.19685039370078741" top="0.23622047244094491" bottom="0.35433070866141736" header="0.19685039370078741" footer="0.19685039370078741"/>
  <pageSetup paperSize="9" scale="62" orientation="portrait" r:id="rId2"/>
  <headerFooter>
    <oddFooter xml:space="preserve">&amp;C&amp;P / &amp;N </oddFooter>
  </headerFooter>
  <rowBreaks count="3" manualBreakCount="3">
    <brk id="69" max="10" man="1"/>
    <brk id="158" max="10" man="1"/>
    <brk id="253" max="10" man="1"/>
  </rowBreaks>
  <drawing r:id="rId3"/>
  <extLst>
    <ext xmlns:x14="http://schemas.microsoft.com/office/spreadsheetml/2009/9/main" uri="{CCE6A557-97BC-4b89-ADB6-D9C93CAAB3DF}">
      <x14:dataValidations xmlns:xm="http://schemas.microsoft.com/office/excel/2006/main" count="2">
        <x14:dataValidation type="list" imeMode="halfAlpha" allowBlank="1" showInputMessage="1" showErrorMessage="1">
          <x14:formula1>
            <xm:f>PCS型名!$A$1:$A$13</xm:f>
          </x14:formula1>
          <xm:sqref>C134:H134 C139:H139 C144:H144 C149:H149 C154:H154 C159:H159 C164:H164 C169:H169 C174:H174 C179:H179 C184:H184 C189:H189 C194:H194 C199:H199 C204:H204 C209:H209 C214:H214 C219:H219 C224:H224 C229:H229 C234:H234 C239:H239 C244:H244 C249:H249 C254:H254 C259:H259 C264:H264 C269:H269 C274:H274 C279:H279</xm:sqref>
        </x14:dataValidation>
        <x14:dataValidation type="list" allowBlank="1" showInputMessage="1" showErrorMessage="1">
          <x14:formula1>
            <xm:f>監視サービス種別!$B$1:$B$25</xm:f>
          </x14:formula1>
          <xm:sqref>C16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L303"/>
  <sheetViews>
    <sheetView topLeftCell="A12" zoomScale="85" zoomScaleNormal="85" workbookViewId="0">
      <pane ySplit="1" topLeftCell="A13" activePane="bottomLeft" state="frozen"/>
      <selection activeCell="A12" sqref="A12"/>
      <selection pane="bottomLeft" activeCell="C14" sqref="C14"/>
    </sheetView>
  </sheetViews>
  <sheetFormatPr defaultColWidth="9" defaultRowHeight="13"/>
  <cols>
    <col min="1" max="1" width="6.453125" style="84" bestFit="1" customWidth="1"/>
    <col min="2" max="2" width="64.90625" style="84" customWidth="1"/>
    <col min="3" max="3" width="40" style="85" customWidth="1"/>
    <col min="4" max="4" width="9.90625" style="84" customWidth="1"/>
    <col min="5" max="5" width="18.7265625" style="84" bestFit="1" customWidth="1"/>
    <col min="6" max="6" width="14.90625" style="84" bestFit="1" customWidth="1"/>
    <col min="7" max="7" width="14.6328125" style="95" bestFit="1" customWidth="1"/>
    <col min="8" max="8" width="16.90625" style="95" bestFit="1" customWidth="1"/>
    <col min="9" max="9" width="16.26953125" style="95" bestFit="1" customWidth="1"/>
    <col min="10" max="10" width="9.453125" style="95" bestFit="1" customWidth="1"/>
    <col min="11" max="11" width="21.453125" style="84" bestFit="1" customWidth="1"/>
    <col min="12" max="12" width="21" style="84" bestFit="1" customWidth="1"/>
    <col min="13" max="16384" width="9" style="84"/>
  </cols>
  <sheetData>
    <row r="12" spans="1:10" ht="39">
      <c r="A12" s="89" t="s">
        <v>153</v>
      </c>
      <c r="B12" s="89" t="s">
        <v>405</v>
      </c>
      <c r="C12" s="117" t="s">
        <v>699</v>
      </c>
      <c r="D12" s="99" t="s">
        <v>515</v>
      </c>
      <c r="E12" s="134" t="s">
        <v>700</v>
      </c>
      <c r="F12" s="171" t="s">
        <v>701</v>
      </c>
      <c r="G12" s="135" t="s">
        <v>782</v>
      </c>
      <c r="H12" s="136" t="s">
        <v>781</v>
      </c>
      <c r="I12" s="137" t="s">
        <v>780</v>
      </c>
      <c r="J12" s="95" t="s">
        <v>696</v>
      </c>
    </row>
    <row r="13" spans="1:10" ht="14.25" customHeight="1">
      <c r="A13" s="1" t="s">
        <v>461</v>
      </c>
      <c r="B13" s="86"/>
      <c r="C13" s="259"/>
      <c r="D13" s="86"/>
      <c r="E13" s="86"/>
      <c r="F13" s="86"/>
      <c r="G13" s="168"/>
      <c r="H13" s="168"/>
      <c r="I13" s="168"/>
    </row>
    <row r="14" spans="1:10">
      <c r="A14" s="87" t="s">
        <v>159</v>
      </c>
      <c r="B14" s="88" t="s">
        <v>1</v>
      </c>
      <c r="C14" s="260">
        <f>監視サービス登録書!C14</f>
        <v>0</v>
      </c>
      <c r="D14" s="88"/>
      <c r="E14" s="133"/>
      <c r="F14" s="86" t="str">
        <f t="shared" ref="F14:F18" si="0">IF(G14&lt;&gt;"",G14,IF(H14&lt;&gt;"",H14,IF(I14&lt;&gt;"",I14,"")))</f>
        <v/>
      </c>
      <c r="G14" s="142" t="str">
        <f>IF(監視サービス登録書!C14="","",IF(LEN(監視サービス登録書!C14)&lt;&gt;11,"！",IF(RIGHT(LEFT(監視サービス登録書!C14,3),1)&lt;&gt;"-","！",IF(RIGHT(LEFT(監視サービス登録書!C14,5),1)&lt;&gt;"-","！",""))))</f>
        <v/>
      </c>
      <c r="H14" s="145"/>
      <c r="I14" s="147"/>
    </row>
    <row r="15" spans="1:10">
      <c r="A15" s="87" t="s">
        <v>160</v>
      </c>
      <c r="B15" s="88" t="s">
        <v>2</v>
      </c>
      <c r="C15" s="261" t="str">
        <f>CONCATENATE("00A06C",監視サービス登録書!F15)</f>
        <v>00A06C</v>
      </c>
      <c r="D15" s="118"/>
      <c r="E15" s="139"/>
      <c r="F15" s="86" t="str">
        <f t="shared" si="0"/>
        <v/>
      </c>
      <c r="G15" s="142" t="str">
        <f>IF(監視サービス登録書!F15="","",IF(LEN(監視サービス登録書!F15)=6,"","！"))</f>
        <v/>
      </c>
      <c r="H15" s="145"/>
      <c r="I15" s="147"/>
    </row>
    <row r="16" spans="1:10">
      <c r="A16" s="87" t="s">
        <v>161</v>
      </c>
      <c r="B16" s="88" t="s">
        <v>815</v>
      </c>
      <c r="C16" s="260">
        <f>監視サービス登録書!C16</f>
        <v>0</v>
      </c>
      <c r="D16" s="88"/>
      <c r="E16" s="133"/>
      <c r="F16" s="86" t="str">
        <f>IF(G16&lt;&gt;"",G16,IF(H16&lt;&gt;"",H16,IF(I16&lt;&gt;"",I16,"")))</f>
        <v/>
      </c>
      <c r="G16" s="142"/>
      <c r="H16" s="145"/>
      <c r="I16" s="147"/>
    </row>
    <row r="17" spans="1:12">
      <c r="A17" s="87" t="s">
        <v>162</v>
      </c>
      <c r="B17" s="88" t="s">
        <v>452</v>
      </c>
      <c r="C17" s="260">
        <f>監視サービス登録書!C17</f>
        <v>0</v>
      </c>
      <c r="D17" s="88"/>
      <c r="E17" s="133" t="str">
        <f>IF(監視サービス登録書!C16="","",IF(LEFT(監視サービス登録書!C16,8)="クラウド区画分譲","必須",""))</f>
        <v/>
      </c>
      <c r="F17" s="86" t="str">
        <f t="shared" si="0"/>
        <v/>
      </c>
      <c r="G17" s="142" t="str">
        <f>IF(監視サービス登録書!C17="","",IF(監視サービス登録書!C17=監視サービス登録書!C14,"！",IF(LEN(監視サービス登録書!C17)&lt;&gt;11,"！",IF(RIGHT(LEFT(監視サービス登録書!C17,3),1)&lt;&gt;"-","！",IF(RIGHT(LEFT(監視サービス登録書!C17,5),1)&lt;&gt;"-","！","")))))</f>
        <v/>
      </c>
      <c r="H17" s="145"/>
      <c r="I17" s="147"/>
    </row>
    <row r="18" spans="1:12">
      <c r="A18" s="87" t="s">
        <v>436</v>
      </c>
      <c r="B18" s="88" t="s">
        <v>453</v>
      </c>
      <c r="C18" s="260">
        <f>監視サービス登録書!C18</f>
        <v>0</v>
      </c>
      <c r="D18" s="88"/>
      <c r="E18" s="133"/>
      <c r="F18" s="86" t="str">
        <f t="shared" si="0"/>
        <v/>
      </c>
      <c r="G18" s="142"/>
      <c r="H18" s="145"/>
      <c r="I18" s="147"/>
    </row>
    <row r="19" spans="1:12" ht="26">
      <c r="A19" s="87" t="s">
        <v>438</v>
      </c>
      <c r="B19" s="88"/>
      <c r="C19" s="262"/>
      <c r="D19" s="88"/>
      <c r="E19" s="88"/>
      <c r="F19" s="88"/>
      <c r="G19" s="167"/>
      <c r="H19" s="167"/>
      <c r="I19" s="167"/>
      <c r="K19" s="99" t="s">
        <v>517</v>
      </c>
      <c r="L19" s="99" t="s">
        <v>518</v>
      </c>
    </row>
    <row r="20" spans="1:12">
      <c r="A20" s="1" t="s">
        <v>431</v>
      </c>
      <c r="B20" s="1"/>
      <c r="C20" s="259"/>
      <c r="D20" s="1"/>
      <c r="E20" s="1"/>
      <c r="F20" s="1"/>
      <c r="G20" s="168"/>
      <c r="H20" s="168"/>
      <c r="I20" s="168"/>
      <c r="K20" s="89" t="s">
        <v>516</v>
      </c>
      <c r="L20" s="89" t="s">
        <v>516</v>
      </c>
    </row>
    <row r="21" spans="1:12">
      <c r="A21" s="87" t="s">
        <v>163</v>
      </c>
      <c r="B21" s="88" t="s">
        <v>456</v>
      </c>
      <c r="C21" s="263">
        <f>監視サービス登録書!C21</f>
        <v>0</v>
      </c>
      <c r="D21" s="88"/>
      <c r="E21" s="133" t="str">
        <f>IF(監視サービス登録書!C18="","",IF(監視サービス登録書!C18="SIMカード方式","必須",""))</f>
        <v/>
      </c>
      <c r="F21" s="86" t="str">
        <f t="shared" ref="F21:F23" si="1">IF(G21&lt;&gt;"",G21,IF(H21&lt;&gt;"",H21,IF(I21&lt;&gt;"",I21,"")))</f>
        <v/>
      </c>
      <c r="G21" s="141" t="str">
        <f>IF(監視サービス登録書!C18="","",IF(監視サービス登録書!C21="","",IF(監視サービス登録書!C18="SIMカード方式",K21,"！")))</f>
        <v/>
      </c>
      <c r="H21" s="144"/>
      <c r="I21" s="138"/>
      <c r="J21" s="95">
        <f ca="1">監視サービス登録書!C21-TODAY()</f>
        <v>-43648</v>
      </c>
      <c r="K21" s="96" t="str">
        <f ca="1">IF(J21&lt;21,"！","")</f>
        <v>！</v>
      </c>
      <c r="L21" s="97"/>
    </row>
    <row r="22" spans="1:12">
      <c r="A22" s="87" t="s">
        <v>164</v>
      </c>
      <c r="B22" s="88" t="s">
        <v>454</v>
      </c>
      <c r="C22" s="263">
        <f>監視サービス登録書!C22</f>
        <v>0</v>
      </c>
      <c r="D22" s="88"/>
      <c r="E22" s="133"/>
      <c r="F22" s="86" t="str">
        <f t="shared" si="1"/>
        <v/>
      </c>
      <c r="G22" s="141" t="str">
        <f>IF(監視サービス登録書!C18="","",IF(監視サービス登録書!C22="","",IF(監視サービス登録書!C18="SIMカード方式",K22,L22)))</f>
        <v/>
      </c>
      <c r="H22" s="144"/>
      <c r="I22" s="138"/>
      <c r="J22" s="95">
        <f ca="1">監視サービス登録書!C22-TODAY()</f>
        <v>-43648</v>
      </c>
      <c r="K22" s="96" t="str">
        <f ca="1">IF(J22&lt;21,"！",IF(J22&lt;J21,"！",""))</f>
        <v>！</v>
      </c>
      <c r="L22" s="98" t="str">
        <f ca="1">IF(J22&lt;14,"！","")</f>
        <v>！</v>
      </c>
    </row>
    <row r="23" spans="1:12">
      <c r="A23" s="87" t="s">
        <v>437</v>
      </c>
      <c r="B23" s="88" t="s">
        <v>455</v>
      </c>
      <c r="C23" s="263" t="str">
        <f>IF(監視サービス登録書!C18="","",IF(監視サービス登録書!C18="SIMカード方式",IF(監視サービス登録書!C21*監視サービス登録書!C22=0,"（2-1及び2-2項を記入ください）",EOMONTH(監視サービス登録書!C21,12)+1),IF(監視サービス登録書!C18="LAN接続方式",IF(監視サービス登録書!C22="","（2-2項を記入ください）",EOMONTH(監視サービス登録書!C22,12)+1))))</f>
        <v/>
      </c>
      <c r="D23" s="88"/>
      <c r="E23" s="133"/>
      <c r="F23" s="86" t="str">
        <f t="shared" si="1"/>
        <v/>
      </c>
      <c r="G23" s="141"/>
      <c r="H23" s="144"/>
      <c r="I23" s="138"/>
    </row>
    <row r="24" spans="1:12">
      <c r="A24" s="87" t="s">
        <v>438</v>
      </c>
      <c r="B24" s="88"/>
      <c r="C24" s="262"/>
      <c r="D24" s="88"/>
      <c r="E24" s="88"/>
      <c r="F24" s="88"/>
      <c r="G24" s="168"/>
      <c r="H24" s="168"/>
      <c r="I24" s="168"/>
    </row>
    <row r="25" spans="1:12">
      <c r="A25" s="87" t="s">
        <v>438</v>
      </c>
      <c r="B25" s="88"/>
      <c r="C25" s="262"/>
      <c r="D25" s="88"/>
      <c r="E25" s="88"/>
      <c r="F25" s="88"/>
      <c r="G25" s="168"/>
      <c r="H25" s="168"/>
      <c r="I25" s="168"/>
    </row>
    <row r="26" spans="1:12">
      <c r="A26" s="87" t="s">
        <v>438</v>
      </c>
      <c r="B26" s="88"/>
      <c r="C26" s="262"/>
      <c r="D26" s="88"/>
      <c r="E26" s="88"/>
      <c r="F26" s="88"/>
      <c r="G26" s="168"/>
      <c r="H26" s="168"/>
      <c r="I26" s="168"/>
    </row>
    <row r="27" spans="1:12" ht="14.25" customHeight="1">
      <c r="A27" s="1" t="s">
        <v>757</v>
      </c>
      <c r="B27" s="86"/>
      <c r="C27" s="259"/>
      <c r="D27" s="86"/>
      <c r="E27" s="86"/>
      <c r="F27" s="86"/>
      <c r="G27" s="168"/>
      <c r="H27" s="168"/>
      <c r="I27" s="168"/>
    </row>
    <row r="28" spans="1:12">
      <c r="A28" s="87" t="s">
        <v>165</v>
      </c>
      <c r="B28" s="88" t="s">
        <v>3</v>
      </c>
      <c r="C28" s="260">
        <f>監視サービス登録書!C28</f>
        <v>0</v>
      </c>
      <c r="D28" s="88"/>
      <c r="E28" s="133"/>
      <c r="F28" s="86" t="str">
        <f t="shared" ref="F28:F37" si="2">IF(G28&lt;&gt;"",G28,IF(H28&lt;&gt;"",H28,IF(I28&lt;&gt;"",I28,"")))</f>
        <v/>
      </c>
      <c r="G28" s="141" t="str">
        <f>IF(監視サービス登録書!C28="","",IF(LEN(監視サービス登録書!C28)=7,"","！"))</f>
        <v/>
      </c>
      <c r="H28" s="144"/>
      <c r="I28" s="138"/>
    </row>
    <row r="29" spans="1:12">
      <c r="A29" s="87" t="s">
        <v>166</v>
      </c>
      <c r="B29" s="88" t="s">
        <v>4</v>
      </c>
      <c r="C29" s="260">
        <f>監視サービス登録書!C29</f>
        <v>0</v>
      </c>
      <c r="D29" s="88"/>
      <c r="E29" s="133"/>
      <c r="F29" s="86" t="str">
        <f t="shared" si="2"/>
        <v/>
      </c>
      <c r="G29" s="141" t="str">
        <f>IF(監視サービス登録書!C29="","",IF(LEN(監視サービス登録書!C29)=10,"",IF(LEN(監視サービス登録書!C29)=11,"","！")))</f>
        <v/>
      </c>
      <c r="H29" s="144"/>
      <c r="I29" s="138"/>
    </row>
    <row r="30" spans="1:12">
      <c r="A30" s="87" t="s">
        <v>167</v>
      </c>
      <c r="B30" s="88" t="s">
        <v>5</v>
      </c>
      <c r="C30" s="260">
        <f>監視サービス登録書!C30</f>
        <v>0</v>
      </c>
      <c r="D30" s="88"/>
      <c r="E30" s="133"/>
      <c r="F30" s="86" t="str">
        <f t="shared" si="2"/>
        <v/>
      </c>
      <c r="G30" s="141"/>
      <c r="H30" s="144"/>
      <c r="I30" s="138"/>
    </row>
    <row r="31" spans="1:12">
      <c r="A31" s="87" t="s">
        <v>168</v>
      </c>
      <c r="B31" s="88" t="s">
        <v>112</v>
      </c>
      <c r="C31" s="260">
        <f>監視サービス登録書!C31</f>
        <v>0</v>
      </c>
      <c r="D31" s="88"/>
      <c r="E31" s="133"/>
      <c r="F31" s="86" t="str">
        <f t="shared" si="2"/>
        <v/>
      </c>
      <c r="G31" s="141"/>
      <c r="H31" s="144"/>
      <c r="I31" s="138"/>
    </row>
    <row r="32" spans="1:12">
      <c r="A32" s="87" t="s">
        <v>169</v>
      </c>
      <c r="B32" s="88" t="s">
        <v>7</v>
      </c>
      <c r="C32" s="260">
        <f>監視サービス登録書!C32</f>
        <v>0</v>
      </c>
      <c r="D32" s="88"/>
      <c r="E32" s="133"/>
      <c r="F32" s="86" t="str">
        <f t="shared" si="2"/>
        <v/>
      </c>
      <c r="G32" s="141"/>
      <c r="H32" s="144"/>
      <c r="I32" s="138"/>
    </row>
    <row r="33" spans="1:9">
      <c r="A33" s="87" t="s">
        <v>170</v>
      </c>
      <c r="B33" s="88" t="s">
        <v>8</v>
      </c>
      <c r="C33" s="260">
        <f>監視サービス登録書!C33</f>
        <v>0</v>
      </c>
      <c r="D33" s="88"/>
      <c r="E33" s="133" t="str">
        <f>IF(監視サービス登録書!C$32="","",IF(監視サービス登録書!C$32="法人","必須",""))</f>
        <v/>
      </c>
      <c r="F33" s="86" t="str">
        <f t="shared" si="2"/>
        <v/>
      </c>
      <c r="G33" s="141"/>
      <c r="H33" s="144"/>
      <c r="I33" s="138"/>
    </row>
    <row r="34" spans="1:9">
      <c r="A34" s="87" t="s">
        <v>171</v>
      </c>
      <c r="B34" s="88" t="s">
        <v>9</v>
      </c>
      <c r="C34" s="260">
        <f>監視サービス登録書!C34</f>
        <v>0</v>
      </c>
      <c r="D34" s="88"/>
      <c r="E34" s="133" t="str">
        <f>IF(監視サービス登録書!C$32="","",IF(監視サービス登録書!C$32="法人","必須",""))</f>
        <v/>
      </c>
      <c r="F34" s="86" t="str">
        <f t="shared" si="2"/>
        <v/>
      </c>
      <c r="G34" s="141"/>
      <c r="H34" s="144"/>
      <c r="I34" s="138"/>
    </row>
    <row r="35" spans="1:9">
      <c r="A35" s="87" t="s">
        <v>172</v>
      </c>
      <c r="B35" s="88" t="s">
        <v>10</v>
      </c>
      <c r="C35" s="260" t="str">
        <f>CONCATENATE(監視サービス登録書!C35,"　",監視サービス登録書!F35)</f>
        <v>　</v>
      </c>
      <c r="D35" s="88"/>
      <c r="E35" s="133"/>
      <c r="F35" s="86" t="str">
        <f t="shared" si="2"/>
        <v/>
      </c>
      <c r="G35" s="141"/>
      <c r="H35" s="144"/>
      <c r="I35" s="138"/>
    </row>
    <row r="36" spans="1:9">
      <c r="A36" s="87" t="s">
        <v>173</v>
      </c>
      <c r="B36" s="88" t="s">
        <v>11</v>
      </c>
      <c r="C36" s="260" t="str">
        <f>CONCATENATE(監視サービス登録書!C36,"　",監視サービス登録書!F36)</f>
        <v>　</v>
      </c>
      <c r="D36" s="88"/>
      <c r="E36" s="133"/>
      <c r="F36" s="86" t="str">
        <f t="shared" si="2"/>
        <v/>
      </c>
      <c r="G36" s="141"/>
      <c r="H36" s="144"/>
      <c r="I36" s="138"/>
    </row>
    <row r="37" spans="1:9">
      <c r="A37" s="87" t="s">
        <v>174</v>
      </c>
      <c r="B37" s="88" t="s">
        <v>12</v>
      </c>
      <c r="C37" s="260">
        <f>監視サービス登録書!C37</f>
        <v>0</v>
      </c>
      <c r="D37" s="88"/>
      <c r="E37" s="133"/>
      <c r="F37" s="86" t="str">
        <f t="shared" si="2"/>
        <v/>
      </c>
      <c r="G37" s="141"/>
      <c r="H37" s="144"/>
      <c r="I37" s="138"/>
    </row>
    <row r="38" spans="1:9">
      <c r="A38" s="1" t="s">
        <v>449</v>
      </c>
      <c r="B38" s="1"/>
      <c r="C38" s="259"/>
      <c r="D38" s="1"/>
      <c r="E38" s="1"/>
      <c r="F38" s="1"/>
      <c r="G38" s="168"/>
      <c r="H38" s="168"/>
      <c r="I38" s="168"/>
    </row>
    <row r="39" spans="1:9">
      <c r="A39" s="116" t="s">
        <v>689</v>
      </c>
      <c r="B39" s="1" t="s">
        <v>688</v>
      </c>
      <c r="C39" s="260">
        <f>監視サービス登録書!C39</f>
        <v>0</v>
      </c>
      <c r="D39" s="1"/>
      <c r="E39" s="140"/>
      <c r="F39" s="86"/>
      <c r="G39" s="141"/>
      <c r="H39" s="144"/>
      <c r="I39" s="138"/>
    </row>
    <row r="40" spans="1:9">
      <c r="A40" s="87" t="s">
        <v>481</v>
      </c>
      <c r="B40" s="88" t="s">
        <v>3</v>
      </c>
      <c r="C40" s="260">
        <f>監視サービス登録書!C40</f>
        <v>0</v>
      </c>
      <c r="D40" s="88"/>
      <c r="E40" s="133" t="str">
        <f>IF(監視サービス登録書!C$39="","",IF(監視サービス登録書!C$39="同じ","","必須"))</f>
        <v/>
      </c>
      <c r="F40" s="86" t="str">
        <f t="shared" ref="F40:F49" si="3">IF(G40&lt;&gt;"",G40,IF(H40&lt;&gt;"",H40,IF(I40&lt;&gt;"",I40,"")))</f>
        <v/>
      </c>
      <c r="G40" s="141" t="str">
        <f>IF(監視サービス登録書!C40="","",IF(LEN(監視サービス登録書!C40)=7,"","！"))</f>
        <v/>
      </c>
      <c r="H40" s="144"/>
      <c r="I40" s="138"/>
    </row>
    <row r="41" spans="1:9">
      <c r="A41" s="87" t="s">
        <v>175</v>
      </c>
      <c r="B41" s="88" t="s">
        <v>4</v>
      </c>
      <c r="C41" s="260">
        <f>監視サービス登録書!C41</f>
        <v>0</v>
      </c>
      <c r="D41" s="88"/>
      <c r="E41" s="133" t="str">
        <f>IF(監視サービス登録書!C$39="","",IF(監視サービス登録書!C$39="同じ","","必須"))</f>
        <v/>
      </c>
      <c r="F41" s="86" t="str">
        <f t="shared" si="3"/>
        <v/>
      </c>
      <c r="G41" s="141" t="str">
        <f>IF(監視サービス登録書!C41="","",IF(LEN(監視サービス登録書!C41)=10,"",IF(LEN(監視サービス登録書!C41)=11,"","！")))</f>
        <v/>
      </c>
      <c r="H41" s="144"/>
      <c r="I41" s="138"/>
    </row>
    <row r="42" spans="1:9">
      <c r="A42" s="87" t="s">
        <v>176</v>
      </c>
      <c r="B42" s="88" t="s">
        <v>5</v>
      </c>
      <c r="C42" s="260">
        <f>監視サービス登録書!C42</f>
        <v>0</v>
      </c>
      <c r="D42" s="88"/>
      <c r="E42" s="133" t="str">
        <f>IF(監視サービス登録書!C$39="","",IF(監視サービス登録書!C$39="同じ","","必須"))</f>
        <v/>
      </c>
      <c r="F42" s="86" t="str">
        <f t="shared" si="3"/>
        <v/>
      </c>
      <c r="G42" s="141"/>
      <c r="H42" s="144"/>
      <c r="I42" s="138"/>
    </row>
    <row r="43" spans="1:9">
      <c r="A43" s="87" t="s">
        <v>177</v>
      </c>
      <c r="B43" s="88" t="s">
        <v>6</v>
      </c>
      <c r="C43" s="260">
        <f>監視サービス登録書!C43</f>
        <v>0</v>
      </c>
      <c r="D43" s="88"/>
      <c r="E43" s="133" t="str">
        <f>IF(監視サービス登録書!C$39="","",IF(監視サービス登録書!C$39="同じ","","必須"))</f>
        <v/>
      </c>
      <c r="F43" s="86" t="str">
        <f t="shared" si="3"/>
        <v/>
      </c>
      <c r="G43" s="141"/>
      <c r="H43" s="144"/>
      <c r="I43" s="138"/>
    </row>
    <row r="44" spans="1:9">
      <c r="A44" s="87" t="s">
        <v>178</v>
      </c>
      <c r="B44" s="88" t="s">
        <v>7</v>
      </c>
      <c r="C44" s="260">
        <f>監視サービス登録書!C44</f>
        <v>0</v>
      </c>
      <c r="D44" s="88"/>
      <c r="E44" s="133" t="str">
        <f>IF(監視サービス登録書!C$39="","",IF(監視サービス登録書!C$39="同じ","","必須"))</f>
        <v/>
      </c>
      <c r="F44" s="86" t="str">
        <f t="shared" si="3"/>
        <v/>
      </c>
      <c r="G44" s="141"/>
      <c r="H44" s="144"/>
      <c r="I44" s="138"/>
    </row>
    <row r="45" spans="1:9">
      <c r="A45" s="87" t="s">
        <v>179</v>
      </c>
      <c r="B45" s="88" t="s">
        <v>8</v>
      </c>
      <c r="C45" s="260">
        <f>監視サービス登録書!C45</f>
        <v>0</v>
      </c>
      <c r="D45" s="88"/>
      <c r="E45" s="133" t="str">
        <f>IF(監視サービス登録書!C$39="","",IF(監視サービス登録書!C$39="同じ","",IF(監視サービス登録書!C$44="","",IF(監視サービス登録書!C$44="法人","必須",""))))</f>
        <v/>
      </c>
      <c r="F45" s="86" t="str">
        <f t="shared" si="3"/>
        <v/>
      </c>
      <c r="G45" s="141"/>
      <c r="H45" s="144"/>
      <c r="I45" s="138"/>
    </row>
    <row r="46" spans="1:9">
      <c r="A46" s="87" t="s">
        <v>180</v>
      </c>
      <c r="B46" s="88" t="s">
        <v>9</v>
      </c>
      <c r="C46" s="260">
        <f>監視サービス登録書!C46</f>
        <v>0</v>
      </c>
      <c r="D46" s="88"/>
      <c r="E46" s="133" t="str">
        <f>IF(監視サービス登録書!C$39="","",IF(監視サービス登録書!C$39="同じ","",IF(監視サービス登録書!C$44="","",IF(監視サービス登録書!C$44="法人","必須",""))))</f>
        <v/>
      </c>
      <c r="F46" s="86" t="str">
        <f t="shared" si="3"/>
        <v/>
      </c>
      <c r="G46" s="141"/>
      <c r="H46" s="144"/>
      <c r="I46" s="138"/>
    </row>
    <row r="47" spans="1:9">
      <c r="A47" s="87" t="s">
        <v>181</v>
      </c>
      <c r="B47" s="88" t="s">
        <v>10</v>
      </c>
      <c r="C47" s="260" t="str">
        <f>CONCATENATE(監視サービス登録書!C47,"　",監視サービス登録書!F47)</f>
        <v>　</v>
      </c>
      <c r="D47" s="88"/>
      <c r="E47" s="133" t="str">
        <f>IF(監視サービス登録書!C$39="","",IF(監視サービス登録書!C$39="同じ","","必須"))</f>
        <v/>
      </c>
      <c r="F47" s="86" t="str">
        <f t="shared" si="3"/>
        <v/>
      </c>
      <c r="G47" s="141"/>
      <c r="H47" s="144"/>
      <c r="I47" s="138"/>
    </row>
    <row r="48" spans="1:9">
      <c r="A48" s="87" t="s">
        <v>182</v>
      </c>
      <c r="B48" s="88" t="s">
        <v>11</v>
      </c>
      <c r="C48" s="260" t="str">
        <f>CONCATENATE(監視サービス登録書!C48,"　",監視サービス登録書!F48)</f>
        <v>　</v>
      </c>
      <c r="D48" s="88"/>
      <c r="E48" s="133" t="str">
        <f>IF(監視サービス登録書!C$39="","",IF(監視サービス登録書!C$39="同じ","","必須"))</f>
        <v/>
      </c>
      <c r="F48" s="86" t="str">
        <f t="shared" si="3"/>
        <v/>
      </c>
      <c r="G48" s="141"/>
      <c r="H48" s="144"/>
      <c r="I48" s="138"/>
    </row>
    <row r="49" spans="1:9">
      <c r="A49" s="87" t="s">
        <v>183</v>
      </c>
      <c r="B49" s="88" t="s">
        <v>12</v>
      </c>
      <c r="C49" s="260">
        <f>監視サービス登録書!C49</f>
        <v>0</v>
      </c>
      <c r="D49" s="88"/>
      <c r="E49" s="133" t="str">
        <f>IF(監視サービス登録書!C$39="","",IF(監視サービス登録書!C$39="同じ","","必須"))</f>
        <v/>
      </c>
      <c r="F49" s="86" t="str">
        <f t="shared" si="3"/>
        <v/>
      </c>
      <c r="G49" s="141"/>
      <c r="H49" s="144"/>
      <c r="I49" s="138"/>
    </row>
    <row r="50" spans="1:9">
      <c r="A50" s="1" t="s">
        <v>462</v>
      </c>
      <c r="B50" s="1"/>
      <c r="C50" s="259"/>
      <c r="D50" s="1"/>
      <c r="E50" s="1"/>
      <c r="F50" s="1"/>
      <c r="G50" s="168"/>
      <c r="H50" s="168"/>
      <c r="I50" s="168"/>
    </row>
    <row r="51" spans="1:9">
      <c r="A51" s="87" t="s">
        <v>184</v>
      </c>
      <c r="B51" s="88" t="s">
        <v>441</v>
      </c>
      <c r="C51" s="260">
        <f>監視サービス登録書!C51</f>
        <v>0</v>
      </c>
      <c r="D51" s="88"/>
      <c r="E51" s="133"/>
      <c r="F51" s="86" t="str">
        <f t="shared" ref="F51:F95" si="4">IF(G51&lt;&gt;"",G51,IF(H51&lt;&gt;"",H51,IF(I51&lt;&gt;"",I51,"")))</f>
        <v/>
      </c>
      <c r="G51" s="141"/>
      <c r="H51" s="144"/>
      <c r="I51" s="138"/>
    </row>
    <row r="52" spans="1:9">
      <c r="A52" s="87" t="s">
        <v>185</v>
      </c>
      <c r="B52" s="88" t="s">
        <v>442</v>
      </c>
      <c r="C52" s="260">
        <f>監視サービス登録書!C52</f>
        <v>0</v>
      </c>
      <c r="D52" s="88"/>
      <c r="E52" s="133"/>
      <c r="F52" s="86" t="str">
        <f t="shared" si="4"/>
        <v/>
      </c>
      <c r="G52" s="141"/>
      <c r="H52" s="144"/>
      <c r="I52" s="138"/>
    </row>
    <row r="53" spans="1:9">
      <c r="A53" s="87" t="s">
        <v>186</v>
      </c>
      <c r="B53" s="88" t="s">
        <v>443</v>
      </c>
      <c r="C53" s="260">
        <f>監視サービス登録書!C53</f>
        <v>0</v>
      </c>
      <c r="D53" s="88"/>
      <c r="E53" s="133"/>
      <c r="F53" s="86" t="str">
        <f t="shared" si="4"/>
        <v/>
      </c>
      <c r="G53" s="141"/>
      <c r="H53" s="144"/>
      <c r="I53" s="138"/>
    </row>
    <row r="54" spans="1:9">
      <c r="A54" s="87" t="s">
        <v>187</v>
      </c>
      <c r="B54" s="88" t="s">
        <v>444</v>
      </c>
      <c r="C54" s="260">
        <f>監視サービス登録書!C54</f>
        <v>0</v>
      </c>
      <c r="D54" s="88"/>
      <c r="E54" s="133"/>
      <c r="F54" s="86" t="str">
        <f t="shared" si="4"/>
        <v/>
      </c>
      <c r="G54" s="141" t="str">
        <f>IF(監視サービス登録書!C54="","",IF(LEN(監視サービス登録書!C54)=10,"",IF(LEN(監視サービス登録書!C54)=11,"","！")))</f>
        <v/>
      </c>
      <c r="H54" s="144"/>
      <c r="I54" s="138"/>
    </row>
    <row r="55" spans="1:9">
      <c r="A55" s="87" t="s">
        <v>188</v>
      </c>
      <c r="B55" s="88" t="s">
        <v>474</v>
      </c>
      <c r="C55" s="260">
        <f>監視サービス登録書!C55</f>
        <v>0</v>
      </c>
      <c r="D55" s="88"/>
      <c r="E55" s="133"/>
      <c r="F55" s="86" t="str">
        <f t="shared" si="4"/>
        <v/>
      </c>
      <c r="G55" s="141" t="str">
        <f>IF(監視サービス登録書!C55="","",IF(LEN(監視サービス登録書!C55)=7,"","！"))</f>
        <v/>
      </c>
      <c r="H55" s="144"/>
      <c r="I55" s="138"/>
    </row>
    <row r="56" spans="1:9">
      <c r="A56" s="87" t="s">
        <v>189</v>
      </c>
      <c r="B56" s="88" t="s">
        <v>463</v>
      </c>
      <c r="C56" s="260">
        <f>監視サービス登録書!C56</f>
        <v>0</v>
      </c>
      <c r="D56" s="88"/>
      <c r="E56" s="133"/>
      <c r="F56" s="86" t="str">
        <f t="shared" si="4"/>
        <v/>
      </c>
      <c r="G56" s="141"/>
      <c r="H56" s="144"/>
      <c r="I56" s="138"/>
    </row>
    <row r="57" spans="1:9">
      <c r="A57" s="87" t="s">
        <v>190</v>
      </c>
      <c r="B57" s="88" t="s">
        <v>465</v>
      </c>
      <c r="C57" s="260">
        <f>監視サービス登録書!C57</f>
        <v>0</v>
      </c>
      <c r="D57" s="88"/>
      <c r="E57" s="133"/>
      <c r="F57" s="86" t="str">
        <f t="shared" si="4"/>
        <v/>
      </c>
      <c r="G57" s="141"/>
      <c r="H57" s="144"/>
      <c r="I57" s="138"/>
    </row>
    <row r="58" spans="1:9">
      <c r="A58" s="87" t="s">
        <v>191</v>
      </c>
      <c r="B58" s="88" t="s">
        <v>467</v>
      </c>
      <c r="C58" s="260">
        <f>監視サービス登録書!C58</f>
        <v>0</v>
      </c>
      <c r="D58" s="88"/>
      <c r="E58" s="133"/>
      <c r="F58" s="86" t="str">
        <f t="shared" si="4"/>
        <v/>
      </c>
      <c r="G58" s="141"/>
      <c r="H58" s="144"/>
      <c r="I58" s="138"/>
    </row>
    <row r="59" spans="1:9">
      <c r="A59" s="87" t="s">
        <v>192</v>
      </c>
      <c r="B59" s="88" t="s">
        <v>476</v>
      </c>
      <c r="C59" s="260">
        <f>監視サービス登録書!C59</f>
        <v>0</v>
      </c>
      <c r="D59" s="88"/>
      <c r="E59" s="133"/>
      <c r="F59" s="86" t="str">
        <f t="shared" si="4"/>
        <v/>
      </c>
      <c r="G59" s="141"/>
      <c r="H59" s="144"/>
      <c r="I59" s="138"/>
    </row>
    <row r="60" spans="1:9">
      <c r="A60" s="87" t="s">
        <v>193</v>
      </c>
      <c r="B60" s="88" t="s">
        <v>477</v>
      </c>
      <c r="C60" s="260">
        <f>監視サービス登録書!C60</f>
        <v>0</v>
      </c>
      <c r="D60" s="88"/>
      <c r="E60" s="133"/>
      <c r="F60" s="86" t="str">
        <f t="shared" si="4"/>
        <v/>
      </c>
      <c r="G60" s="141"/>
      <c r="H60" s="144"/>
      <c r="I60" s="138"/>
    </row>
    <row r="61" spans="1:9">
      <c r="A61" s="87" t="s">
        <v>194</v>
      </c>
      <c r="B61" s="88" t="s">
        <v>440</v>
      </c>
      <c r="C61" s="260">
        <f>監視サービス登録書!C61</f>
        <v>0</v>
      </c>
      <c r="D61" s="88"/>
      <c r="E61" s="133"/>
      <c r="F61" s="86" t="str">
        <f t="shared" si="4"/>
        <v/>
      </c>
      <c r="G61" s="141"/>
      <c r="H61" s="144"/>
      <c r="I61" s="138"/>
    </row>
    <row r="62" spans="1:9">
      <c r="A62" s="87" t="s">
        <v>195</v>
      </c>
      <c r="B62" s="88" t="s">
        <v>415</v>
      </c>
      <c r="C62" s="260">
        <f>監視サービス登録書!C62</f>
        <v>0</v>
      </c>
      <c r="D62" s="88"/>
      <c r="E62" s="133"/>
      <c r="F62" s="86" t="str">
        <f t="shared" si="4"/>
        <v/>
      </c>
      <c r="G62" s="141"/>
      <c r="H62" s="144"/>
      <c r="I62" s="138"/>
    </row>
    <row r="63" spans="1:9">
      <c r="A63" s="87" t="s">
        <v>196</v>
      </c>
      <c r="B63" s="88" t="s">
        <v>418</v>
      </c>
      <c r="C63" s="260">
        <f>監視サービス登録書!C63</f>
        <v>0</v>
      </c>
      <c r="D63" s="88"/>
      <c r="E63" s="133"/>
      <c r="F63" s="86" t="str">
        <f t="shared" si="4"/>
        <v/>
      </c>
      <c r="G63" s="141"/>
      <c r="H63" s="144"/>
      <c r="I63" s="138"/>
    </row>
    <row r="64" spans="1:9">
      <c r="A64" s="87" t="s">
        <v>197</v>
      </c>
      <c r="B64" s="88" t="s">
        <v>13</v>
      </c>
      <c r="C64" s="260">
        <f>監視サービス登録書!C64</f>
        <v>0</v>
      </c>
      <c r="D64" s="88"/>
      <c r="E64" s="133"/>
      <c r="F64" s="86" t="str">
        <f t="shared" si="4"/>
        <v/>
      </c>
      <c r="G64" s="141"/>
      <c r="H64" s="144"/>
      <c r="I64" s="138"/>
    </row>
    <row r="65" spans="1:9">
      <c r="A65" s="87" t="s">
        <v>198</v>
      </c>
      <c r="B65" s="88" t="s">
        <v>457</v>
      </c>
      <c r="C65" s="260">
        <f>監視サービス登録書!C65</f>
        <v>0</v>
      </c>
      <c r="D65" s="88"/>
      <c r="E65" s="133"/>
      <c r="F65" s="86" t="str">
        <f t="shared" si="4"/>
        <v/>
      </c>
      <c r="G65" s="141" t="str">
        <f>IF(監視サービス登録書!C65="","",IF(LEN(監視サービス登録書!C65)=10,"",IF(LEN(監視サービス登録書!C65)=11,"","！")))</f>
        <v/>
      </c>
      <c r="H65" s="144"/>
      <c r="I65" s="138"/>
    </row>
    <row r="66" spans="1:9">
      <c r="A66" s="87" t="s">
        <v>199</v>
      </c>
      <c r="B66" s="88" t="s">
        <v>805</v>
      </c>
      <c r="C66" s="260">
        <f>監視サービス登録書!C66</f>
        <v>0</v>
      </c>
      <c r="D66" s="88"/>
      <c r="E66" s="133"/>
      <c r="F66" s="86" t="str">
        <f t="shared" si="4"/>
        <v/>
      </c>
      <c r="G66" s="141"/>
      <c r="H66" s="144"/>
      <c r="I66" s="138"/>
    </row>
    <row r="67" spans="1:9">
      <c r="A67" s="87" t="s">
        <v>200</v>
      </c>
      <c r="B67" s="88" t="s">
        <v>807</v>
      </c>
      <c r="C67" s="260">
        <f>監視サービス登録書!C67</f>
        <v>0</v>
      </c>
      <c r="D67" s="88"/>
      <c r="E67" s="133" t="str">
        <f>IF(監視サービス登録書!C16="","",IF(LEFT(監視サービス登録書!C16,4)="クラウド","必須",""))</f>
        <v/>
      </c>
      <c r="F67" s="86" t="str">
        <f t="shared" si="4"/>
        <v/>
      </c>
      <c r="G67" s="141"/>
      <c r="H67" s="144"/>
      <c r="I67" s="138"/>
    </row>
    <row r="68" spans="1:9">
      <c r="A68" s="87" t="s">
        <v>201</v>
      </c>
      <c r="B68" s="88" t="s">
        <v>808</v>
      </c>
      <c r="C68" s="260">
        <f>監視サービス登録書!C68</f>
        <v>0</v>
      </c>
      <c r="D68" s="88"/>
      <c r="E68" s="133" t="str">
        <f>IF(監視サービス登録書!C16="","",IF(LEFT(監視サービス登録書!C16,4)="ローカル","",IF(LEFT(監視サービス登録書!C16,14)="クラウド監視サービスLite","",IF(LEFT(監視サービス登録書!C16,21)="クラウド区画分譲オプションサービスLite","","必須"))))</f>
        <v/>
      </c>
      <c r="F68" s="86" t="str">
        <f t="shared" si="4"/>
        <v/>
      </c>
      <c r="G68" s="141"/>
      <c r="H68" s="144"/>
      <c r="I68" s="138"/>
    </row>
    <row r="69" spans="1:9">
      <c r="A69" s="87" t="s">
        <v>202</v>
      </c>
      <c r="B69" s="88" t="s">
        <v>806</v>
      </c>
      <c r="C69" s="260">
        <f>監視サービス登録書!C69</f>
        <v>0</v>
      </c>
      <c r="D69" s="88"/>
      <c r="E69" s="133" t="str">
        <f>IF(監視サービス登録書!C16="","",IF(LEFT(監視サービス登録書!C16,4)="ローカル","",IF(LEFT(監視サービス登録書!C16,14)="クラウド監視サービスLite","",IF(LEFT(監視サービス登録書!C16,21)="クラウド区画分譲オプションサービスLite","","必須"))))</f>
        <v/>
      </c>
      <c r="F69" s="86" t="str">
        <f>IF(G69&lt;&gt;"",G69,IF(H69&lt;&gt;"",H69,IF(I69&lt;&gt;"",I69,"")))</f>
        <v/>
      </c>
      <c r="G69" s="141"/>
      <c r="H69" s="144"/>
      <c r="I69" s="138"/>
    </row>
    <row r="70" spans="1:9">
      <c r="A70" s="87" t="s">
        <v>203</v>
      </c>
      <c r="B70" s="88" t="s">
        <v>445</v>
      </c>
      <c r="C70" s="260">
        <f>監視サービス登録書!C70</f>
        <v>0</v>
      </c>
      <c r="D70" s="88"/>
      <c r="E70" s="133"/>
      <c r="F70" s="86" t="str">
        <f t="shared" si="4"/>
        <v/>
      </c>
      <c r="G70" s="141"/>
      <c r="H70" s="144"/>
      <c r="I70" s="138"/>
    </row>
    <row r="71" spans="1:9">
      <c r="A71" s="87" t="s">
        <v>204</v>
      </c>
      <c r="B71" s="88" t="s">
        <v>416</v>
      </c>
      <c r="C71" s="260">
        <f>監視サービス登録書!C71</f>
        <v>0</v>
      </c>
      <c r="D71" s="88"/>
      <c r="E71" s="133"/>
      <c r="F71" s="86" t="str">
        <f t="shared" si="4"/>
        <v/>
      </c>
      <c r="G71" s="141"/>
      <c r="H71" s="144"/>
      <c r="I71" s="138"/>
    </row>
    <row r="72" spans="1:9">
      <c r="A72" s="87" t="s">
        <v>205</v>
      </c>
      <c r="B72" s="88" t="s">
        <v>542</v>
      </c>
      <c r="C72" s="260">
        <f>監視サービス登録書!C72</f>
        <v>0</v>
      </c>
      <c r="D72" s="88"/>
      <c r="E72" s="133" t="str">
        <f>IF(LEN(監視サービス登録書!C72)&lt;=20,"必須","！")</f>
        <v>必須</v>
      </c>
      <c r="F72" s="86" t="str">
        <f t="shared" si="4"/>
        <v/>
      </c>
      <c r="G72" s="141" t="str">
        <f>IF(監視サービス登録書!C75="","",IF(監視サービス登録書!C72="","！",""))</f>
        <v/>
      </c>
      <c r="H72" s="144"/>
      <c r="I72" s="138"/>
    </row>
    <row r="73" spans="1:9">
      <c r="A73" s="87" t="s">
        <v>206</v>
      </c>
      <c r="B73" s="88" t="s">
        <v>543</v>
      </c>
      <c r="C73" s="260">
        <f>監視サービス登録書!C73</f>
        <v>0</v>
      </c>
      <c r="D73" s="88"/>
      <c r="E73" s="133" t="str">
        <f>IF(LEN(監視サービス登録書!C73)&lt;=20,"必須","！")</f>
        <v>必須</v>
      </c>
      <c r="F73" s="86" t="str">
        <f t="shared" si="4"/>
        <v/>
      </c>
      <c r="G73" s="141" t="str">
        <f>IF(監視サービス登録書!C76="","",IF(監視サービス登録書!C73="","！",""))</f>
        <v/>
      </c>
      <c r="H73" s="144"/>
      <c r="I73" s="138"/>
    </row>
    <row r="74" spans="1:9">
      <c r="A74" s="87" t="s">
        <v>207</v>
      </c>
      <c r="B74" s="88" t="s">
        <v>678</v>
      </c>
      <c r="C74" s="260">
        <f>監視サービス登録書!C74</f>
        <v>0</v>
      </c>
      <c r="D74" s="88"/>
      <c r="E74" s="133"/>
      <c r="F74" s="86" t="str">
        <f t="shared" si="4"/>
        <v/>
      </c>
      <c r="G74" s="141" t="str">
        <f>IF(監視サービス登録書!C77="","",IF(監視サービス登録書!C74="","！",""))</f>
        <v/>
      </c>
      <c r="H74" s="144"/>
      <c r="I74" s="138"/>
    </row>
    <row r="75" spans="1:9">
      <c r="A75" s="87" t="s">
        <v>208</v>
      </c>
      <c r="B75" s="88" t="s">
        <v>544</v>
      </c>
      <c r="C75" s="260">
        <f>監視サービス登録書!C75</f>
        <v>0</v>
      </c>
      <c r="D75" s="88"/>
      <c r="E75" s="133" t="str">
        <f>IF(LEN(監視サービス登録書!C75)&lt;=20,"","！")</f>
        <v/>
      </c>
      <c r="F75" s="86" t="str">
        <f t="shared" si="4"/>
        <v/>
      </c>
      <c r="G75" s="141" t="str">
        <f>IF(監視サービス登録書!C78="","",IF(監視サービス登録書!C75="","！",""))</f>
        <v/>
      </c>
      <c r="H75" s="144"/>
      <c r="I75" s="138"/>
    </row>
    <row r="76" spans="1:9">
      <c r="A76" s="87" t="s">
        <v>209</v>
      </c>
      <c r="B76" s="88" t="s">
        <v>545</v>
      </c>
      <c r="C76" s="260">
        <f>監視サービス登録書!C76</f>
        <v>0</v>
      </c>
      <c r="D76" s="88"/>
      <c r="E76" s="133" t="str">
        <f>IF(LEN(監視サービス登録書!C76)&lt;=20,"","！")</f>
        <v/>
      </c>
      <c r="F76" s="86" t="str">
        <f t="shared" si="4"/>
        <v/>
      </c>
      <c r="G76" s="141" t="str">
        <f>IF(監視サービス登録書!C79="","",IF(監視サービス登録書!C76="","！",""))</f>
        <v/>
      </c>
      <c r="H76" s="144"/>
      <c r="I76" s="138"/>
    </row>
    <row r="77" spans="1:9">
      <c r="A77" s="87" t="s">
        <v>210</v>
      </c>
      <c r="B77" s="88" t="s">
        <v>679</v>
      </c>
      <c r="C77" s="260">
        <f>監視サービス登録書!C77</f>
        <v>0</v>
      </c>
      <c r="D77" s="88"/>
      <c r="E77" s="133"/>
      <c r="F77" s="86" t="str">
        <f t="shared" si="4"/>
        <v/>
      </c>
      <c r="G77" s="141" t="str">
        <f>IF(監視サービス登録書!C80="","",IF(監視サービス登録書!C77="","！",""))</f>
        <v/>
      </c>
      <c r="H77" s="144"/>
      <c r="I77" s="138"/>
    </row>
    <row r="78" spans="1:9">
      <c r="A78" s="87" t="s">
        <v>211</v>
      </c>
      <c r="B78" s="88" t="s">
        <v>546</v>
      </c>
      <c r="C78" s="260">
        <f>監視サービス登録書!C78</f>
        <v>0</v>
      </c>
      <c r="D78" s="88"/>
      <c r="E78" s="133" t="str">
        <f>IF(LEN(監視サービス登録書!C78)&lt;=20,"","！")</f>
        <v/>
      </c>
      <c r="F78" s="86" t="str">
        <f t="shared" si="4"/>
        <v/>
      </c>
      <c r="G78" s="141" t="str">
        <f>IF(監視サービス登録書!C81="","",IF(監視サービス登録書!C78="","！",""))</f>
        <v/>
      </c>
      <c r="H78" s="144"/>
      <c r="I78" s="138"/>
    </row>
    <row r="79" spans="1:9">
      <c r="A79" s="87" t="s">
        <v>212</v>
      </c>
      <c r="B79" s="88" t="s">
        <v>547</v>
      </c>
      <c r="C79" s="260">
        <f>監視サービス登録書!C79</f>
        <v>0</v>
      </c>
      <c r="D79" s="88"/>
      <c r="E79" s="133" t="str">
        <f>IF(LEN(監視サービス登録書!C79)&lt;=20,"","！")</f>
        <v/>
      </c>
      <c r="F79" s="86" t="str">
        <f t="shared" si="4"/>
        <v/>
      </c>
      <c r="G79" s="141" t="str">
        <f>IF(監視サービス登録書!C82="","",IF(監視サービス登録書!C79="","！",""))</f>
        <v/>
      </c>
      <c r="H79" s="144"/>
      <c r="I79" s="138"/>
    </row>
    <row r="80" spans="1:9">
      <c r="A80" s="87" t="s">
        <v>213</v>
      </c>
      <c r="B80" s="88" t="s">
        <v>680</v>
      </c>
      <c r="C80" s="260">
        <f>監視サービス登録書!C80</f>
        <v>0</v>
      </c>
      <c r="D80" s="88"/>
      <c r="E80" s="133"/>
      <c r="F80" s="86" t="str">
        <f t="shared" si="4"/>
        <v/>
      </c>
      <c r="G80" s="141" t="str">
        <f>IF(監視サービス登録書!C83="","",IF(監視サービス登録書!C80="","！",""))</f>
        <v/>
      </c>
      <c r="H80" s="144"/>
      <c r="I80" s="138"/>
    </row>
    <row r="81" spans="1:9">
      <c r="A81" s="87" t="s">
        <v>214</v>
      </c>
      <c r="B81" s="88" t="s">
        <v>548</v>
      </c>
      <c r="C81" s="260">
        <f>監視サービス登録書!C81</f>
        <v>0</v>
      </c>
      <c r="D81" s="88"/>
      <c r="E81" s="133" t="str">
        <f>IF(LEN(監視サービス登録書!C81)&lt;=20,"","！")</f>
        <v/>
      </c>
      <c r="F81" s="86" t="str">
        <f t="shared" si="4"/>
        <v/>
      </c>
      <c r="G81" s="141" t="str">
        <f>IF(監視サービス登録書!C84="","",IF(監視サービス登録書!C81="","！",""))</f>
        <v/>
      </c>
      <c r="H81" s="144"/>
      <c r="I81" s="138"/>
    </row>
    <row r="82" spans="1:9">
      <c r="A82" s="87" t="s">
        <v>215</v>
      </c>
      <c r="B82" s="88" t="s">
        <v>549</v>
      </c>
      <c r="C82" s="260">
        <f>監視サービス登録書!C82</f>
        <v>0</v>
      </c>
      <c r="D82" s="88"/>
      <c r="E82" s="133" t="str">
        <f>IF(LEN(監視サービス登録書!C82)&lt;=20,"","！")</f>
        <v/>
      </c>
      <c r="F82" s="86" t="str">
        <f t="shared" si="4"/>
        <v/>
      </c>
      <c r="G82" s="141" t="str">
        <f>IF(監視サービス登録書!C85="","",IF(監視サービス登録書!C82="","！",""))</f>
        <v/>
      </c>
      <c r="H82" s="144"/>
      <c r="I82" s="138"/>
    </row>
    <row r="83" spans="1:9">
      <c r="A83" s="87" t="s">
        <v>216</v>
      </c>
      <c r="B83" s="88" t="s">
        <v>681</v>
      </c>
      <c r="C83" s="260">
        <f>監視サービス登録書!C83</f>
        <v>0</v>
      </c>
      <c r="D83" s="88"/>
      <c r="E83" s="133"/>
      <c r="F83" s="86" t="str">
        <f t="shared" si="4"/>
        <v/>
      </c>
      <c r="G83" s="141" t="str">
        <f>IF(監視サービス登録書!C86="","",IF(監視サービス登録書!C83="","！",""))</f>
        <v/>
      </c>
      <c r="H83" s="144"/>
      <c r="I83" s="138"/>
    </row>
    <row r="84" spans="1:9">
      <c r="A84" s="87" t="s">
        <v>217</v>
      </c>
      <c r="B84" s="88" t="s">
        <v>550</v>
      </c>
      <c r="C84" s="260">
        <f>監視サービス登録書!C84</f>
        <v>0</v>
      </c>
      <c r="D84" s="88"/>
      <c r="E84" s="133" t="str">
        <f>IF(LEN(監視サービス登録書!C84)&lt;=20,"","！")</f>
        <v/>
      </c>
      <c r="F84" s="86" t="str">
        <f t="shared" si="4"/>
        <v/>
      </c>
      <c r="G84" s="141" t="str">
        <f>IF(監視サービス登録書!C87="","",IF(監視サービス登録書!C84="","！",""))</f>
        <v/>
      </c>
      <c r="H84" s="144"/>
      <c r="I84" s="138"/>
    </row>
    <row r="85" spans="1:9">
      <c r="A85" s="87" t="s">
        <v>218</v>
      </c>
      <c r="B85" s="88" t="s">
        <v>551</v>
      </c>
      <c r="C85" s="260">
        <f>監視サービス登録書!C85</f>
        <v>0</v>
      </c>
      <c r="D85" s="88"/>
      <c r="E85" s="133" t="str">
        <f>IF(LEN(監視サービス登録書!C85)&lt;=20,"","！")</f>
        <v/>
      </c>
      <c r="F85" s="86" t="str">
        <f t="shared" si="4"/>
        <v/>
      </c>
      <c r="G85" s="141" t="str">
        <f>IF(監視サービス登録書!C88="","",IF(監視サービス登録書!C85="","！",""))</f>
        <v/>
      </c>
      <c r="H85" s="144"/>
      <c r="I85" s="138"/>
    </row>
    <row r="86" spans="1:9">
      <c r="A86" s="87" t="s">
        <v>219</v>
      </c>
      <c r="B86" s="88" t="s">
        <v>682</v>
      </c>
      <c r="C86" s="260">
        <f>監視サービス登録書!C86</f>
        <v>0</v>
      </c>
      <c r="D86" s="88"/>
      <c r="E86" s="133"/>
      <c r="F86" s="86" t="str">
        <f t="shared" si="4"/>
        <v/>
      </c>
      <c r="G86" s="141" t="str">
        <f>IF(監視サービス登録書!C89="","",IF(監視サービス登録書!C86="","！",""))</f>
        <v/>
      </c>
      <c r="H86" s="144"/>
      <c r="I86" s="138"/>
    </row>
    <row r="87" spans="1:9">
      <c r="A87" s="87" t="s">
        <v>220</v>
      </c>
      <c r="B87" s="88" t="s">
        <v>552</v>
      </c>
      <c r="C87" s="260">
        <f>監視サービス登録書!C87</f>
        <v>0</v>
      </c>
      <c r="D87" s="88"/>
      <c r="E87" s="133" t="str">
        <f>IF(LEN(監視サービス登録書!C87)&lt;=20,"","！")</f>
        <v/>
      </c>
      <c r="F87" s="86" t="str">
        <f t="shared" si="4"/>
        <v/>
      </c>
      <c r="G87" s="141" t="str">
        <f>IF(監視サービス登録書!C90="","",IF(監視サービス登録書!C87="","！",""))</f>
        <v/>
      </c>
      <c r="H87" s="144"/>
      <c r="I87" s="138"/>
    </row>
    <row r="88" spans="1:9">
      <c r="A88" s="87" t="s">
        <v>221</v>
      </c>
      <c r="B88" s="88" t="s">
        <v>553</v>
      </c>
      <c r="C88" s="260">
        <f>監視サービス登録書!C88</f>
        <v>0</v>
      </c>
      <c r="D88" s="88"/>
      <c r="E88" s="133" t="str">
        <f>IF(LEN(監視サービス登録書!C88)&lt;=20,"","！")</f>
        <v/>
      </c>
      <c r="F88" s="86" t="str">
        <f t="shared" si="4"/>
        <v/>
      </c>
      <c r="G88" s="141" t="str">
        <f>IF(監視サービス登録書!C91="","",IF(監視サービス登録書!C88="","！",""))</f>
        <v/>
      </c>
      <c r="H88" s="144"/>
      <c r="I88" s="138"/>
    </row>
    <row r="89" spans="1:9">
      <c r="A89" s="87" t="s">
        <v>222</v>
      </c>
      <c r="B89" s="88" t="s">
        <v>683</v>
      </c>
      <c r="C89" s="260">
        <f>監視サービス登録書!C89</f>
        <v>0</v>
      </c>
      <c r="D89" s="88"/>
      <c r="E89" s="133"/>
      <c r="F89" s="86" t="str">
        <f t="shared" si="4"/>
        <v/>
      </c>
      <c r="G89" s="141" t="str">
        <f>IF(監視サービス登録書!C92="","",IF(監視サービス登録書!C89="","！",""))</f>
        <v/>
      </c>
      <c r="H89" s="144"/>
      <c r="I89" s="138"/>
    </row>
    <row r="90" spans="1:9">
      <c r="A90" s="87" t="s">
        <v>223</v>
      </c>
      <c r="B90" s="88" t="s">
        <v>554</v>
      </c>
      <c r="C90" s="260">
        <f>監視サービス登録書!C90</f>
        <v>0</v>
      </c>
      <c r="D90" s="88"/>
      <c r="E90" s="133" t="str">
        <f>IF(LEN(監視サービス登録書!C90)&lt;=20,"","！")</f>
        <v/>
      </c>
      <c r="F90" s="86" t="str">
        <f t="shared" si="4"/>
        <v/>
      </c>
      <c r="G90" s="141" t="str">
        <f>IF(監視サービス登録書!C93="","",IF(監視サービス登録書!C90="","！",""))</f>
        <v/>
      </c>
      <c r="H90" s="144"/>
      <c r="I90" s="138"/>
    </row>
    <row r="91" spans="1:9">
      <c r="A91" s="87" t="s">
        <v>224</v>
      </c>
      <c r="B91" s="88" t="s">
        <v>555</v>
      </c>
      <c r="C91" s="260">
        <f>監視サービス登録書!C91</f>
        <v>0</v>
      </c>
      <c r="D91" s="88"/>
      <c r="E91" s="133" t="str">
        <f>IF(LEN(監視サービス登録書!C91)&lt;=20,"","！")</f>
        <v/>
      </c>
      <c r="F91" s="86" t="str">
        <f t="shared" si="4"/>
        <v/>
      </c>
      <c r="G91" s="141" t="str">
        <f>IF(監視サービス登録書!C94="","",IF(監視サービス登録書!C91="","！",""))</f>
        <v/>
      </c>
      <c r="H91" s="144"/>
      <c r="I91" s="138"/>
    </row>
    <row r="92" spans="1:9">
      <c r="A92" s="87" t="s">
        <v>225</v>
      </c>
      <c r="B92" s="88" t="s">
        <v>684</v>
      </c>
      <c r="C92" s="260">
        <f>監視サービス登録書!C92</f>
        <v>0</v>
      </c>
      <c r="D92" s="88"/>
      <c r="E92" s="133"/>
      <c r="F92" s="86" t="str">
        <f t="shared" si="4"/>
        <v/>
      </c>
      <c r="G92" s="141" t="str">
        <f>IF(監視サービス登録書!C95="","",IF(監視サービス登録書!C92="","！",""))</f>
        <v/>
      </c>
      <c r="H92" s="144"/>
      <c r="I92" s="138"/>
    </row>
    <row r="93" spans="1:9">
      <c r="A93" s="87" t="s">
        <v>799</v>
      </c>
      <c r="B93" s="88" t="s">
        <v>556</v>
      </c>
      <c r="C93" s="260">
        <f>監視サービス登録書!C93</f>
        <v>0</v>
      </c>
      <c r="D93" s="88"/>
      <c r="E93" s="133" t="str">
        <f>IF(LEN(監視サービス登録書!C93)&lt;=20,"","！")</f>
        <v/>
      </c>
      <c r="F93" s="86" t="str">
        <f t="shared" si="4"/>
        <v/>
      </c>
      <c r="G93" s="141"/>
      <c r="H93" s="144"/>
      <c r="I93" s="138"/>
    </row>
    <row r="94" spans="1:9">
      <c r="A94" s="87" t="s">
        <v>801</v>
      </c>
      <c r="B94" s="88" t="s">
        <v>557</v>
      </c>
      <c r="C94" s="260">
        <f>監視サービス登録書!C94</f>
        <v>0</v>
      </c>
      <c r="D94" s="88"/>
      <c r="E94" s="133" t="str">
        <f>IF(LEN(監視サービス登録書!C94)&lt;=20,"","！")</f>
        <v/>
      </c>
      <c r="F94" s="86" t="str">
        <f t="shared" si="4"/>
        <v/>
      </c>
      <c r="G94" s="141"/>
      <c r="H94" s="144"/>
      <c r="I94" s="138"/>
    </row>
    <row r="95" spans="1:9">
      <c r="A95" s="87" t="s">
        <v>803</v>
      </c>
      <c r="B95" s="88" t="s">
        <v>685</v>
      </c>
      <c r="C95" s="260">
        <f>監視サービス登録書!C95</f>
        <v>0</v>
      </c>
      <c r="D95" s="88"/>
      <c r="E95" s="133"/>
      <c r="F95" s="86" t="str">
        <f t="shared" si="4"/>
        <v/>
      </c>
      <c r="G95" s="141"/>
      <c r="H95" s="144"/>
      <c r="I95" s="138"/>
    </row>
    <row r="96" spans="1:9">
      <c r="A96" s="87" t="s">
        <v>438</v>
      </c>
      <c r="B96" s="88"/>
      <c r="C96" s="262"/>
      <c r="D96" s="88"/>
      <c r="E96" s="88"/>
      <c r="F96" s="88"/>
      <c r="G96" s="168"/>
      <c r="H96" s="168"/>
      <c r="I96" s="168"/>
    </row>
    <row r="97" spans="1:9">
      <c r="A97" s="87" t="s">
        <v>438</v>
      </c>
      <c r="B97" s="88"/>
      <c r="C97" s="262"/>
      <c r="D97" s="88"/>
      <c r="E97" s="88"/>
      <c r="F97" s="88"/>
      <c r="G97" s="168"/>
      <c r="H97" s="168"/>
      <c r="I97" s="168"/>
    </row>
    <row r="98" spans="1:9">
      <c r="A98" s="87" t="s">
        <v>438</v>
      </c>
      <c r="B98" s="88"/>
      <c r="C98" s="262"/>
      <c r="D98" s="88"/>
      <c r="E98" s="88"/>
      <c r="F98" s="88"/>
      <c r="G98" s="168"/>
      <c r="H98" s="168"/>
      <c r="I98" s="168"/>
    </row>
    <row r="99" spans="1:9">
      <c r="A99" s="87" t="s">
        <v>438</v>
      </c>
      <c r="B99" s="88"/>
      <c r="C99" s="262"/>
      <c r="D99" s="88"/>
      <c r="E99" s="88"/>
      <c r="F99" s="88"/>
      <c r="G99" s="168"/>
      <c r="H99" s="168"/>
      <c r="I99" s="168"/>
    </row>
    <row r="100" spans="1:9">
      <c r="A100" s="1" t="s">
        <v>432</v>
      </c>
      <c r="B100" s="1"/>
      <c r="C100" s="262"/>
      <c r="D100" s="88"/>
      <c r="E100" s="88"/>
      <c r="F100" s="88"/>
      <c r="G100" s="168"/>
      <c r="H100" s="168"/>
      <c r="I100" s="168"/>
    </row>
    <row r="101" spans="1:9">
      <c r="A101" s="87" t="s">
        <v>226</v>
      </c>
      <c r="B101" s="88" t="s">
        <v>423</v>
      </c>
      <c r="C101" s="260">
        <f>監視サービス登録書!C101</f>
        <v>0</v>
      </c>
      <c r="D101" s="88"/>
      <c r="E101" s="133" t="str">
        <f>IF(LEN(監視サービス登録書!C101)&lt;=20,"","！")</f>
        <v/>
      </c>
      <c r="F101" s="86" t="str">
        <f t="shared" ref="F101:F107" si="5">IF(G101&lt;&gt;"",G101,IF(H101&lt;&gt;"",H101,IF(I101&lt;&gt;"",I101,"")))</f>
        <v/>
      </c>
      <c r="G101" s="141"/>
      <c r="H101" s="144"/>
      <c r="I101" s="138"/>
    </row>
    <row r="102" spans="1:9">
      <c r="A102" s="87" t="s">
        <v>227</v>
      </c>
      <c r="B102" s="88" t="s">
        <v>422</v>
      </c>
      <c r="C102" s="260">
        <f>監視サービス登録書!C102</f>
        <v>0</v>
      </c>
      <c r="D102" s="88"/>
      <c r="E102" s="133"/>
      <c r="F102" s="86" t="str">
        <f t="shared" si="5"/>
        <v/>
      </c>
      <c r="G102" s="141"/>
      <c r="H102" s="144"/>
      <c r="I102" s="138"/>
    </row>
    <row r="103" spans="1:9">
      <c r="A103" s="87" t="s">
        <v>228</v>
      </c>
      <c r="B103" s="88" t="s">
        <v>408</v>
      </c>
      <c r="C103" s="260" t="str">
        <f>CONCATENATE(監視サービス登録書!C103,"　",監視サービス登録書!F103)</f>
        <v>　</v>
      </c>
      <c r="D103" s="88"/>
      <c r="E103" s="133"/>
      <c r="F103" s="86" t="str">
        <f t="shared" si="5"/>
        <v/>
      </c>
      <c r="G103" s="141"/>
      <c r="H103" s="144"/>
      <c r="I103" s="138"/>
    </row>
    <row r="104" spans="1:9">
      <c r="A104" s="87" t="s">
        <v>229</v>
      </c>
      <c r="B104" s="88" t="s">
        <v>458</v>
      </c>
      <c r="C104" s="260">
        <f>監視サービス登録書!C104</f>
        <v>0</v>
      </c>
      <c r="D104" s="88"/>
      <c r="E104" s="133"/>
      <c r="F104" s="86" t="str">
        <f t="shared" si="5"/>
        <v/>
      </c>
      <c r="G104" s="141" t="str">
        <f>IF(監視サービス登録書!C104="","",IF(LEN(監視サービス登録書!C104)=10,"",IF(LEN(監視サービス登録書!C104)=11,"","！")))</f>
        <v/>
      </c>
      <c r="H104" s="144"/>
      <c r="I104" s="138"/>
    </row>
    <row r="105" spans="1:9">
      <c r="A105" s="87" t="s">
        <v>230</v>
      </c>
      <c r="B105" s="88" t="s">
        <v>459</v>
      </c>
      <c r="C105" s="260">
        <f>監視サービス登録書!C105</f>
        <v>0</v>
      </c>
      <c r="D105" s="88"/>
      <c r="E105" s="133"/>
      <c r="F105" s="86" t="str">
        <f t="shared" si="5"/>
        <v/>
      </c>
      <c r="G105" s="141"/>
      <c r="H105" s="144"/>
      <c r="I105" s="138"/>
    </row>
    <row r="106" spans="1:9">
      <c r="A106" s="87" t="s">
        <v>231</v>
      </c>
      <c r="B106" s="88" t="s">
        <v>810</v>
      </c>
      <c r="C106" s="260">
        <f>監視サービス登録書!C106</f>
        <v>0</v>
      </c>
      <c r="D106" s="88"/>
      <c r="E106" s="133" t="str">
        <f>IF(監視サービス登録書!C16="","",IF(LEFT(監視サービス登録書!C16,4)="ローカル","",IF(LEFT(監視サービス登録書!C16,14)="クラウド監視サービスLite","",IF(LEFT(監視サービス登録書!C16,21)="クラウド区画分譲オプションサービスLite","","必須"))))</f>
        <v/>
      </c>
      <c r="F106" s="86" t="str">
        <f t="shared" si="5"/>
        <v/>
      </c>
      <c r="G106" s="141"/>
      <c r="H106" s="144"/>
      <c r="I106" s="138"/>
    </row>
    <row r="107" spans="1:9">
      <c r="A107" s="87" t="s">
        <v>232</v>
      </c>
      <c r="B107" s="88" t="s">
        <v>811</v>
      </c>
      <c r="C107" s="260">
        <f>監視サービス登録書!C107</f>
        <v>0</v>
      </c>
      <c r="D107" s="88"/>
      <c r="E107" s="133" t="str">
        <f>IF(監視サービス登録書!C16="","",IF(LEFT(監視サービス登録書!C16,4)="ローカル","",IF(LEFT(監視サービス登録書!C16,14)="クラウド監視サービスLite","",IF(LEFT(監視サービス登録書!C16,21)="クラウド区画分譲オプションサービスLite","","必須"))))</f>
        <v/>
      </c>
      <c r="F107" s="86" t="str">
        <f t="shared" si="5"/>
        <v/>
      </c>
      <c r="G107" s="141"/>
      <c r="H107" s="144"/>
      <c r="I107" s="138"/>
    </row>
    <row r="108" spans="1:9">
      <c r="A108" s="87" t="s">
        <v>233</v>
      </c>
      <c r="B108" s="88" t="s">
        <v>809</v>
      </c>
      <c r="C108" s="260">
        <f>監視サービス登録書!C108</f>
        <v>0</v>
      </c>
      <c r="D108" s="88"/>
      <c r="E108" s="133" t="str">
        <f>IF(監視サービス登録書!C16="","",IF(LEFT(監視サービス登録書!C16,4)="ローカル","",IF(LEFT(監視サービス登録書!C16,14)="クラウド監視サービスLite","",IF(LEFT(監視サービス登録書!C16,21)="クラウド区画分譲オプションサービスLite","","必須"))))</f>
        <v/>
      </c>
      <c r="F108" s="86" t="str">
        <f>IF(G108&lt;&gt;"",G108,IF(H108&lt;&gt;"",H108,IF(I108&lt;&gt;"",I108,"")))</f>
        <v/>
      </c>
      <c r="G108" s="141"/>
      <c r="H108" s="144"/>
      <c r="I108" s="138"/>
    </row>
    <row r="109" spans="1:9">
      <c r="A109" s="87" t="s">
        <v>438</v>
      </c>
      <c r="B109" s="88"/>
      <c r="C109" s="262"/>
      <c r="D109" s="88"/>
      <c r="E109" s="88"/>
      <c r="F109" s="88"/>
      <c r="G109" s="168"/>
      <c r="H109" s="168"/>
      <c r="I109" s="168"/>
    </row>
    <row r="110" spans="1:9">
      <c r="A110" s="1" t="s">
        <v>451</v>
      </c>
      <c r="B110" s="1"/>
      <c r="C110" s="259"/>
      <c r="D110" s="1"/>
      <c r="E110" s="1"/>
      <c r="F110" s="1"/>
      <c r="G110" s="168"/>
      <c r="H110" s="168"/>
      <c r="I110" s="168"/>
    </row>
    <row r="111" spans="1:9">
      <c r="A111" s="87" t="s">
        <v>234</v>
      </c>
      <c r="B111" s="88" t="s">
        <v>460</v>
      </c>
      <c r="C111" s="260">
        <f>監視サービス登録書!C111</f>
        <v>0</v>
      </c>
      <c r="D111" s="88"/>
      <c r="E111" s="133" t="str">
        <f>IF(監視サービス登録書!C16="","",IF(RIGHT(監視サービス登録書!C16,3)="有り）","必須",IF(RIGHT(監視サービス登録書!C16,4)="プラン）","必須","")))</f>
        <v/>
      </c>
      <c r="F111" s="86" t="str">
        <f t="shared" ref="F111" si="6">IF(G111&lt;&gt;"",G111,IF(H111&lt;&gt;"",H111,IF(I111&lt;&gt;"",I111,"")))</f>
        <v/>
      </c>
      <c r="G111" s="141"/>
      <c r="H111" s="144"/>
      <c r="I111" s="138"/>
    </row>
    <row r="112" spans="1:9">
      <c r="A112" s="1" t="s">
        <v>450</v>
      </c>
      <c r="B112" s="1"/>
      <c r="C112" s="259"/>
      <c r="D112" s="1"/>
      <c r="E112" s="1"/>
      <c r="F112" s="1"/>
      <c r="G112" s="168"/>
      <c r="H112" s="168"/>
      <c r="I112" s="168"/>
    </row>
    <row r="113" spans="1:10" ht="13.5" customHeight="1">
      <c r="A113" s="87" t="s">
        <v>235</v>
      </c>
      <c r="B113" s="88" t="s">
        <v>14</v>
      </c>
      <c r="C113" s="263">
        <f>監視サービス登録書!C113</f>
        <v>0</v>
      </c>
      <c r="D113" s="88"/>
      <c r="E113" s="133"/>
      <c r="F113" s="86" t="str">
        <f t="shared" ref="F113:F181" si="7">IF(G113&lt;&gt;"",G113,IF(H113&lt;&gt;"",H113,IF(I113&lt;&gt;"",I113,"")))</f>
        <v/>
      </c>
      <c r="G113" s="141"/>
      <c r="H113" s="144"/>
      <c r="I113" s="138"/>
    </row>
    <row r="114" spans="1:10" ht="13.5" customHeight="1">
      <c r="A114" s="87" t="s">
        <v>236</v>
      </c>
      <c r="B114" s="88" t="s">
        <v>15</v>
      </c>
      <c r="C114" s="263">
        <f>監視サービス登録書!C114</f>
        <v>0</v>
      </c>
      <c r="D114" s="88"/>
      <c r="E114" s="133"/>
      <c r="F114" s="86" t="str">
        <f t="shared" si="7"/>
        <v/>
      </c>
      <c r="G114" s="141"/>
      <c r="H114" s="144"/>
      <c r="I114" s="138"/>
    </row>
    <row r="115" spans="1:10" ht="13.5" customHeight="1">
      <c r="A115" s="87" t="s">
        <v>237</v>
      </c>
      <c r="B115" s="88" t="s">
        <v>424</v>
      </c>
      <c r="C115" s="260">
        <f>監視サービス登録書!C115</f>
        <v>0</v>
      </c>
      <c r="D115" s="88"/>
      <c r="E115" s="133"/>
      <c r="F115" s="86" t="str">
        <f t="shared" si="7"/>
        <v/>
      </c>
      <c r="G115" s="141"/>
      <c r="H115" s="144"/>
      <c r="I115" s="138"/>
    </row>
    <row r="116" spans="1:10" ht="13.5" customHeight="1">
      <c r="A116" s="87" t="s">
        <v>238</v>
      </c>
      <c r="B116" s="88" t="s">
        <v>16</v>
      </c>
      <c r="C116" s="260">
        <f>監視サービス登録書!C116</f>
        <v>0</v>
      </c>
      <c r="D116" s="88"/>
      <c r="E116" s="133"/>
      <c r="F116" s="86" t="str">
        <f t="shared" si="7"/>
        <v/>
      </c>
      <c r="G116" s="141"/>
      <c r="H116" s="144"/>
      <c r="I116" s="138"/>
    </row>
    <row r="117" spans="1:10" ht="13.5" customHeight="1">
      <c r="A117" s="87" t="s">
        <v>239</v>
      </c>
      <c r="B117" s="88" t="s">
        <v>17</v>
      </c>
      <c r="C117" s="260">
        <f>監視サービス登録書!C117</f>
        <v>0</v>
      </c>
      <c r="D117" s="88"/>
      <c r="E117" s="133"/>
      <c r="F117" s="86" t="str">
        <f t="shared" si="7"/>
        <v/>
      </c>
      <c r="G117" s="141"/>
      <c r="H117" s="144"/>
      <c r="I117" s="138"/>
    </row>
    <row r="118" spans="1:10" ht="13.5" customHeight="1">
      <c r="A118" s="87" t="s">
        <v>240</v>
      </c>
      <c r="B118" s="88" t="s">
        <v>18</v>
      </c>
      <c r="C118" s="260" t="str">
        <f>ASC(監視サービス登録書!C118)</f>
        <v/>
      </c>
      <c r="D118" s="88"/>
      <c r="E118" s="133"/>
      <c r="F118" s="86" t="str">
        <f t="shared" si="7"/>
        <v/>
      </c>
      <c r="G118" s="141"/>
      <c r="H118" s="144"/>
      <c r="I118" s="138"/>
      <c r="J118" s="95" t="s">
        <v>695</v>
      </c>
    </row>
    <row r="119" spans="1:10" ht="13.5" customHeight="1">
      <c r="A119" s="87" t="s">
        <v>241</v>
      </c>
      <c r="B119" s="88" t="s">
        <v>19</v>
      </c>
      <c r="C119" s="260" t="str">
        <f>ASC(監視サービス登録書!C119)</f>
        <v/>
      </c>
      <c r="D119" s="88"/>
      <c r="E119" s="133"/>
      <c r="F119" s="86" t="str">
        <f t="shared" si="7"/>
        <v/>
      </c>
      <c r="G119" s="141"/>
      <c r="H119" s="144"/>
      <c r="I119" s="138"/>
      <c r="J119" s="95" t="s">
        <v>695</v>
      </c>
    </row>
    <row r="120" spans="1:10" ht="13.5" customHeight="1">
      <c r="A120" s="87" t="s">
        <v>242</v>
      </c>
      <c r="B120" s="88" t="s">
        <v>425</v>
      </c>
      <c r="C120" s="260">
        <f>監視サービス登録書!C120</f>
        <v>0</v>
      </c>
      <c r="D120" s="88"/>
      <c r="E120" s="133"/>
      <c r="F120" s="86" t="str">
        <f t="shared" si="7"/>
        <v/>
      </c>
      <c r="G120" s="141"/>
      <c r="H120" s="144"/>
      <c r="I120" s="138"/>
    </row>
    <row r="121" spans="1:10" ht="13.5" customHeight="1">
      <c r="A121" s="87" t="s">
        <v>243</v>
      </c>
      <c r="B121" s="88" t="s">
        <v>470</v>
      </c>
      <c r="C121" s="260">
        <f>監視サービス登録書!C121</f>
        <v>0</v>
      </c>
      <c r="D121" s="88"/>
      <c r="E121" s="133"/>
      <c r="F121" s="86" t="str">
        <f t="shared" si="7"/>
        <v/>
      </c>
      <c r="G121" s="141"/>
      <c r="H121" s="144"/>
      <c r="I121" s="138"/>
    </row>
    <row r="122" spans="1:10" ht="13.5" customHeight="1">
      <c r="A122" s="87" t="s">
        <v>244</v>
      </c>
      <c r="B122" s="88" t="s">
        <v>471</v>
      </c>
      <c r="C122" s="260">
        <f>監視サービス登録書!C122</f>
        <v>0</v>
      </c>
      <c r="D122" s="88"/>
      <c r="E122" s="133"/>
      <c r="F122" s="86" t="str">
        <f t="shared" si="7"/>
        <v/>
      </c>
      <c r="G122" s="141"/>
      <c r="H122" s="144"/>
      <c r="I122" s="138"/>
    </row>
    <row r="123" spans="1:10" ht="13.5" customHeight="1">
      <c r="A123" s="87" t="s">
        <v>245</v>
      </c>
      <c r="B123" s="88" t="s">
        <v>426</v>
      </c>
      <c r="C123" s="260">
        <f>監視サービス登録書!C123</f>
        <v>0</v>
      </c>
      <c r="D123" s="88"/>
      <c r="E123" s="133" t="str">
        <f>IF(監視サービス登録書!C123&gt;30,"！","")</f>
        <v/>
      </c>
      <c r="F123" s="86" t="str">
        <f t="shared" si="7"/>
        <v/>
      </c>
      <c r="G123" s="141"/>
      <c r="H123" s="144"/>
      <c r="I123" s="138"/>
    </row>
    <row r="124" spans="1:10" ht="13.5" customHeight="1">
      <c r="A124" s="87" t="s">
        <v>246</v>
      </c>
      <c r="B124" s="88" t="s">
        <v>20</v>
      </c>
      <c r="C124" s="260">
        <f>監視サービス登録書!C124</f>
        <v>0</v>
      </c>
      <c r="D124" s="88"/>
      <c r="E124" s="133"/>
      <c r="F124" s="86" t="str">
        <f t="shared" si="7"/>
        <v/>
      </c>
      <c r="G124" s="141"/>
      <c r="H124" s="144"/>
      <c r="I124" s="138"/>
    </row>
    <row r="125" spans="1:10" ht="13.5" customHeight="1">
      <c r="A125" s="87" t="s">
        <v>247</v>
      </c>
      <c r="B125" s="88" t="s">
        <v>427</v>
      </c>
      <c r="C125" s="260">
        <f>監視サービス登録書!C125</f>
        <v>0</v>
      </c>
      <c r="D125" s="88"/>
      <c r="E125" s="133" t="str">
        <f>IF(監視サービス登録書!C124="有り","必須","")</f>
        <v/>
      </c>
      <c r="F125" s="86" t="str">
        <f t="shared" si="7"/>
        <v/>
      </c>
      <c r="G125" s="141"/>
      <c r="H125" s="144"/>
      <c r="I125" s="138"/>
    </row>
    <row r="126" spans="1:10" ht="13.5" customHeight="1">
      <c r="A126" s="87" t="s">
        <v>248</v>
      </c>
      <c r="B126" s="88" t="s">
        <v>862</v>
      </c>
      <c r="C126" s="260">
        <f>監視サービス登録書!C126</f>
        <v>0</v>
      </c>
      <c r="D126" s="88"/>
      <c r="E126" s="133" t="str">
        <f>IF(LEFT(監視サービス登録書!C16,4)="クラウド","必須","")</f>
        <v/>
      </c>
      <c r="F126" s="86"/>
      <c r="G126" s="141"/>
      <c r="H126" s="144"/>
      <c r="I126" s="138"/>
    </row>
    <row r="127" spans="1:10" ht="13.5" customHeight="1">
      <c r="A127" s="87" t="s">
        <v>249</v>
      </c>
      <c r="B127" s="88" t="s">
        <v>863</v>
      </c>
      <c r="C127" s="260">
        <f>監視サービス登録書!H127/100</f>
        <v>0</v>
      </c>
      <c r="D127" s="88"/>
      <c r="E127" s="133" t="str">
        <f>IF(LEFT(監視サービス登録書!C16,4)="クラウド","必須","")</f>
        <v/>
      </c>
      <c r="F127" s="86"/>
      <c r="G127" s="141"/>
      <c r="H127" s="144"/>
      <c r="I127" s="138"/>
    </row>
    <row r="128" spans="1:10" ht="13.5" customHeight="1">
      <c r="A128" s="87" t="s">
        <v>250</v>
      </c>
      <c r="B128" s="88" t="s">
        <v>864</v>
      </c>
      <c r="C128" s="260">
        <f>監視サービス登録書!H128/100</f>
        <v>0</v>
      </c>
      <c r="D128" s="88"/>
      <c r="E128" s="133" t="str">
        <f>IF(LEFT(監視サービス登録書!C16,4)="クラウド","必須","")</f>
        <v/>
      </c>
      <c r="F128" s="86"/>
      <c r="G128" s="141"/>
      <c r="H128" s="144"/>
      <c r="I128" s="138"/>
    </row>
    <row r="129" spans="1:9" ht="13.5" customHeight="1">
      <c r="A129" s="87" t="s">
        <v>251</v>
      </c>
      <c r="B129" s="88" t="s">
        <v>865</v>
      </c>
      <c r="C129" s="260">
        <f>監視サービス登録書!H129/100</f>
        <v>0</v>
      </c>
      <c r="D129" s="88"/>
      <c r="E129" s="133" t="str">
        <f>IF(LEFT(監視サービス登録書!C16,4)="クラウド","必須","")</f>
        <v/>
      </c>
      <c r="F129" s="86"/>
      <c r="G129" s="141"/>
      <c r="H129" s="144"/>
      <c r="I129" s="138"/>
    </row>
    <row r="130" spans="1:9" ht="13.5" customHeight="1">
      <c r="A130" s="87" t="s">
        <v>252</v>
      </c>
      <c r="B130" s="88" t="s">
        <v>866</v>
      </c>
      <c r="C130" s="260">
        <f>監視サービス登録書!H130/100</f>
        <v>0</v>
      </c>
      <c r="D130" s="88"/>
      <c r="E130" s="133" t="str">
        <f>IF(LEFT(監視サービス登録書!C16,4)="クラウド","必須","")</f>
        <v/>
      </c>
      <c r="F130" s="86"/>
      <c r="G130" s="141"/>
      <c r="H130" s="144"/>
      <c r="I130" s="138"/>
    </row>
    <row r="131" spans="1:9" ht="13.5" customHeight="1">
      <c r="A131" s="87" t="s">
        <v>253</v>
      </c>
      <c r="B131" s="88" t="s">
        <v>428</v>
      </c>
      <c r="C131" s="260">
        <f>監視サービス登録書!C131</f>
        <v>0</v>
      </c>
      <c r="D131" s="88"/>
      <c r="E131" s="133"/>
      <c r="F131" s="86" t="str">
        <f t="shared" si="7"/>
        <v/>
      </c>
      <c r="G131" s="141"/>
      <c r="H131" s="144"/>
      <c r="I131" s="138"/>
    </row>
    <row r="132" spans="1:9" ht="13.5" customHeight="1">
      <c r="A132" s="87" t="s">
        <v>254</v>
      </c>
      <c r="B132" s="88" t="s">
        <v>22</v>
      </c>
      <c r="C132" s="260">
        <f>監視サービス登録書!C132</f>
        <v>0</v>
      </c>
      <c r="D132" s="88"/>
      <c r="E132" s="133" t="str">
        <f>IF(監視サービス登録書!C$131="有り","必須","")</f>
        <v/>
      </c>
      <c r="F132" s="86" t="str">
        <f t="shared" si="7"/>
        <v/>
      </c>
      <c r="G132" s="143" t="str">
        <f>IF(監視サービス登録書!C132="","",IF(LEN(監視サービス登録書!C132)&lt;26,"！",IF(LEN(監視サービス登録書!C132)&gt;26,"！",IF(監視サービス登録書!C132=ﾁｪｯｸｻﾑ!B3,"","！"))))</f>
        <v/>
      </c>
      <c r="H132" s="146"/>
      <c r="I132" s="148"/>
    </row>
    <row r="133" spans="1:9" ht="13.5" customHeight="1">
      <c r="A133" s="87" t="s">
        <v>255</v>
      </c>
      <c r="B133" s="88" t="s">
        <v>429</v>
      </c>
      <c r="C133" s="260">
        <f>監視サービス登録書!C133</f>
        <v>0</v>
      </c>
      <c r="D133" s="88"/>
      <c r="E133" s="133" t="str">
        <f>IF(監視サービス登録書!C$131="有り","必須","")</f>
        <v/>
      </c>
      <c r="F133" s="86" t="str">
        <f t="shared" si="7"/>
        <v/>
      </c>
      <c r="G133" s="141"/>
      <c r="H133" s="144"/>
      <c r="I133" s="138"/>
    </row>
    <row r="134" spans="1:9" ht="13.5" customHeight="1">
      <c r="A134" s="87" t="s">
        <v>256</v>
      </c>
      <c r="B134" s="88" t="s">
        <v>565</v>
      </c>
      <c r="C134" s="260">
        <f>監視サービス登録書!C134</f>
        <v>0</v>
      </c>
      <c r="D134" s="119">
        <v>1</v>
      </c>
      <c r="E134" s="133"/>
      <c r="F134" s="86" t="str">
        <f>IF(G134&lt;&gt;"",G134,IF(H134&lt;&gt;"",H134,IF(I134&lt;&gt;"",I134,"")))</f>
        <v/>
      </c>
      <c r="G134" s="141"/>
      <c r="H134" s="144"/>
      <c r="I134" s="138"/>
    </row>
    <row r="135" spans="1:9">
      <c r="A135" s="87" t="s">
        <v>257</v>
      </c>
      <c r="B135" s="88" t="s">
        <v>566</v>
      </c>
      <c r="C135" s="260">
        <f>監視サービス登録書!C135</f>
        <v>0</v>
      </c>
      <c r="D135" s="119">
        <v>1</v>
      </c>
      <c r="E135" s="133" t="s">
        <v>944</v>
      </c>
      <c r="F135" s="86" t="str">
        <f>IF(G135&lt;&gt;"",G135,IF(H135&lt;&gt;"",H135,IF(I135&lt;&gt;"",I135,"")))</f>
        <v/>
      </c>
      <c r="G135" s="141"/>
      <c r="H135" s="144"/>
      <c r="I135" s="138"/>
    </row>
    <row r="136" spans="1:9" ht="13.5" customHeight="1">
      <c r="A136" s="87" t="s">
        <v>258</v>
      </c>
      <c r="B136" s="88" t="s">
        <v>901</v>
      </c>
      <c r="C136" s="260">
        <f>監視サービス登録書!D136</f>
        <v>0</v>
      </c>
      <c r="D136" s="119">
        <v>1</v>
      </c>
      <c r="E136" s="133" t="str">
        <f>IF(RIGHT(監視サービス登録書!C$16,4)="プラン）","必須","必須／任意")</f>
        <v>必須／任意</v>
      </c>
      <c r="F136" s="86" t="str">
        <f>IF(G136&lt;&gt;"",G136,IF(H136&lt;&gt;"",H136,IF(I136&lt;&gt;"",I136,"")))</f>
        <v/>
      </c>
      <c r="G136" s="141"/>
      <c r="H136" s="144"/>
      <c r="I136" s="138"/>
    </row>
    <row r="137" spans="1:9" ht="13.5" customHeight="1">
      <c r="A137" s="87" t="s">
        <v>259</v>
      </c>
      <c r="B137" s="88" t="s">
        <v>686</v>
      </c>
      <c r="C137" s="260">
        <f>監視サービス登録書!C137</f>
        <v>1</v>
      </c>
      <c r="D137" s="119">
        <v>1</v>
      </c>
      <c r="E137" s="133"/>
      <c r="F137" s="86" t="str">
        <f>IF(G137&lt;&gt;"",G137,IF(H137&lt;&gt;"",H137,IF(I137&lt;&gt;"",I137,"")))</f>
        <v/>
      </c>
      <c r="G137" s="141"/>
      <c r="H137" s="144"/>
      <c r="I137" s="138"/>
    </row>
    <row r="138" spans="1:9" ht="13.5" customHeight="1">
      <c r="A138" s="87" t="s">
        <v>260</v>
      </c>
      <c r="B138" s="88" t="s">
        <v>694</v>
      </c>
      <c r="C138" s="260">
        <f>監視サービス登録書!C138</f>
        <v>0</v>
      </c>
      <c r="D138" s="119">
        <v>1</v>
      </c>
      <c r="E138" s="133" t="str">
        <f>IF(監視サービス登録書!C$131="有り","必須","")</f>
        <v/>
      </c>
      <c r="F138" s="86" t="str">
        <f>IF(G138&lt;&gt;"",G138,IF(H138&lt;&gt;"",H138,IF(I138&lt;&gt;"",I138,"")))</f>
        <v/>
      </c>
      <c r="G138" s="141"/>
      <c r="H138" s="144"/>
      <c r="I138" s="138"/>
    </row>
    <row r="139" spans="1:9" ht="13.5" customHeight="1">
      <c r="A139" s="87" t="s">
        <v>261</v>
      </c>
      <c r="B139" s="88" t="s">
        <v>692</v>
      </c>
      <c r="C139" s="260">
        <f>監視サービス登録書!C139</f>
        <v>0</v>
      </c>
      <c r="D139" s="119">
        <v>2</v>
      </c>
      <c r="E139" s="133" t="str">
        <f>IF(監視サービス登録書!C$123&gt;=D139,"必須","")</f>
        <v/>
      </c>
      <c r="F139" s="86" t="str">
        <f t="shared" si="7"/>
        <v/>
      </c>
      <c r="G139" s="141"/>
      <c r="H139" s="144"/>
      <c r="I139" s="138"/>
    </row>
    <row r="140" spans="1:9">
      <c r="A140" s="87" t="s">
        <v>262</v>
      </c>
      <c r="B140" s="88" t="s">
        <v>693</v>
      </c>
      <c r="C140" s="260">
        <f>監視サービス登録書!C140</f>
        <v>0</v>
      </c>
      <c r="D140" s="119">
        <v>2</v>
      </c>
      <c r="E140" s="133" t="s">
        <v>944</v>
      </c>
      <c r="F140" s="86" t="str">
        <f t="shared" si="7"/>
        <v/>
      </c>
      <c r="G140" s="141"/>
      <c r="H140" s="144"/>
      <c r="I140" s="138"/>
    </row>
    <row r="141" spans="1:9" ht="13.5" customHeight="1">
      <c r="A141" s="87" t="s">
        <v>263</v>
      </c>
      <c r="B141" s="88" t="s">
        <v>902</v>
      </c>
      <c r="C141" s="260">
        <f>監視サービス登録書!D141</f>
        <v>0</v>
      </c>
      <c r="D141" s="119">
        <v>2</v>
      </c>
      <c r="E141" s="133" t="str">
        <f>IF(RIGHT(監視サービス登録書!C$16,4)="プラン）","必須","必須／任意")</f>
        <v>必須／任意</v>
      </c>
      <c r="F141" s="86" t="str">
        <f t="shared" si="7"/>
        <v/>
      </c>
      <c r="G141" s="141"/>
      <c r="H141" s="144"/>
      <c r="I141" s="138"/>
    </row>
    <row r="142" spans="1:9" ht="13.5" customHeight="1">
      <c r="A142" s="87" t="s">
        <v>264</v>
      </c>
      <c r="B142" s="88" t="s">
        <v>691</v>
      </c>
      <c r="C142" s="260">
        <f>監視サービス登録書!C142</f>
        <v>0</v>
      </c>
      <c r="D142" s="119">
        <v>2</v>
      </c>
      <c r="E142" s="133" t="str">
        <f>IF(監視サービス登録書!C$123&lt;D142,"","必須")</f>
        <v/>
      </c>
      <c r="F142" s="86" t="str">
        <f t="shared" si="7"/>
        <v/>
      </c>
      <c r="G142" s="141" t="str">
        <f>IF(監視サービス登録書!B142="","",IF(監視サービス登録書!C142&gt;(監視サービス登録書!C137)+1,"！",IF(監視サービス登録書!C147="","",IF(監視サービス登録書!C142&lt;=監視サービス登録書!C147,"","！"))))</f>
        <v/>
      </c>
      <c r="H142" s="144"/>
      <c r="I142" s="138" t="str">
        <f>IF(監視サービス登録書!B142="","",IF(監視サービス登録書!C147&lt;&gt;"","",IF(監視サービス登録書!C142=COUNTA(監視サービス登録書!C$73,監視サービス登録書!C$76,監視サービス登録書!C$79,監視サービス登録書!C$82,監視サービス登録書!C$85,監視サービス登録書!C$88,監視サービス登録書!C$91,監視サービス登録書!C$94),"","！")))</f>
        <v/>
      </c>
    </row>
    <row r="143" spans="1:9" ht="13.5" customHeight="1">
      <c r="A143" s="87" t="s">
        <v>265</v>
      </c>
      <c r="B143" s="88" t="s">
        <v>872</v>
      </c>
      <c r="C143" s="260">
        <f>監視サービス登録書!C143</f>
        <v>0</v>
      </c>
      <c r="D143" s="119">
        <v>2</v>
      </c>
      <c r="E143" s="133" t="str">
        <f>IF(監視サービス登録書!B143="","",IF(監視サービス登録書!C$123&lt;D143,"",IF(監視サービス登録書!C$131="有り","必須","")))</f>
        <v/>
      </c>
      <c r="F143" s="86" t="str">
        <f t="shared" si="7"/>
        <v/>
      </c>
      <c r="G143" s="141"/>
      <c r="H143" s="144"/>
      <c r="I143" s="138"/>
    </row>
    <row r="144" spans="1:9" ht="13.5" customHeight="1">
      <c r="A144" s="87" t="s">
        <v>266</v>
      </c>
      <c r="B144" s="88" t="s">
        <v>567</v>
      </c>
      <c r="C144" s="260">
        <f>監視サービス登録書!C144</f>
        <v>0</v>
      </c>
      <c r="D144" s="119">
        <v>3</v>
      </c>
      <c r="E144" s="133" t="str">
        <f>IF(監視サービス登録書!C$123&gt;=D144,"必須","")</f>
        <v/>
      </c>
      <c r="F144" s="86" t="str">
        <f t="shared" si="7"/>
        <v/>
      </c>
      <c r="G144" s="141"/>
      <c r="H144" s="144"/>
      <c r="I144" s="138"/>
    </row>
    <row r="145" spans="1:9">
      <c r="A145" s="87" t="s">
        <v>267</v>
      </c>
      <c r="B145" s="88" t="s">
        <v>568</v>
      </c>
      <c r="C145" s="260">
        <f>監視サービス登録書!C145</f>
        <v>0</v>
      </c>
      <c r="D145" s="119">
        <v>3</v>
      </c>
      <c r="E145" s="133" t="s">
        <v>944</v>
      </c>
      <c r="F145" s="86" t="str">
        <f t="shared" si="7"/>
        <v/>
      </c>
      <c r="G145" s="141"/>
      <c r="H145" s="144"/>
      <c r="I145" s="138"/>
    </row>
    <row r="146" spans="1:9" ht="13.5" customHeight="1">
      <c r="A146" s="87" t="s">
        <v>268</v>
      </c>
      <c r="B146" s="88" t="s">
        <v>903</v>
      </c>
      <c r="C146" s="260">
        <f>監視サービス登録書!D146</f>
        <v>0</v>
      </c>
      <c r="D146" s="119">
        <v>3</v>
      </c>
      <c r="E146" s="133" t="str">
        <f>IF(RIGHT(監視サービス登録書!C$16,4)="プラン）","必須","必須／任意")</f>
        <v>必須／任意</v>
      </c>
      <c r="F146" s="86" t="str">
        <f t="shared" si="7"/>
        <v/>
      </c>
      <c r="G146" s="141"/>
      <c r="H146" s="144"/>
      <c r="I146" s="138"/>
    </row>
    <row r="147" spans="1:9" ht="13.5" customHeight="1">
      <c r="A147" s="87" t="s">
        <v>269</v>
      </c>
      <c r="B147" s="88" t="s">
        <v>569</v>
      </c>
      <c r="C147" s="260">
        <f>監視サービス登録書!C147</f>
        <v>0</v>
      </c>
      <c r="D147" s="119">
        <v>3</v>
      </c>
      <c r="E147" s="133" t="str">
        <f>IF(監視サービス登録書!C$123&lt;D147,"","必須")</f>
        <v/>
      </c>
      <c r="F147" s="86" t="str">
        <f t="shared" si="7"/>
        <v/>
      </c>
      <c r="G147" s="141" t="str">
        <f>IF(監視サービス登録書!B147="","",IF(監視サービス登録書!C147&gt;(監視サービス登録書!C142)+1,"！",IF(監視サービス登録書!C152="","",IF(監視サービス登録書!C147&lt;=監視サービス登録書!C152,"","！"))))</f>
        <v/>
      </c>
      <c r="H147" s="144"/>
      <c r="I147" s="138" t="str">
        <f>IF(監視サービス登録書!B147="","",IF(監視サービス登録書!C152&lt;&gt;"","",IF(監視サービス登録書!C147=COUNTA(監視サービス登録書!C$73,監視サービス登録書!C$76,監視サービス登録書!C$79,監視サービス登録書!C$82,監視サービス登録書!C$85,監視サービス登録書!C$88,監視サービス登録書!C$91,監視サービス登録書!C$94),"","！")))</f>
        <v/>
      </c>
    </row>
    <row r="148" spans="1:9" ht="13.5" customHeight="1">
      <c r="A148" s="87" t="s">
        <v>270</v>
      </c>
      <c r="B148" s="88" t="s">
        <v>570</v>
      </c>
      <c r="C148" s="260">
        <f>監視サービス登録書!C148</f>
        <v>0</v>
      </c>
      <c r="D148" s="119">
        <v>3</v>
      </c>
      <c r="E148" s="133" t="str">
        <f>IF(監視サービス登録書!B148="","",IF(監視サービス登録書!C$123&lt;D148,"",IF(監視サービス登録書!C$131="有り","必須","")))</f>
        <v/>
      </c>
      <c r="F148" s="86" t="str">
        <f t="shared" si="7"/>
        <v/>
      </c>
      <c r="G148" s="141"/>
      <c r="H148" s="144"/>
      <c r="I148" s="138"/>
    </row>
    <row r="149" spans="1:9" ht="13.5" customHeight="1">
      <c r="A149" s="87" t="s">
        <v>271</v>
      </c>
      <c r="B149" s="88" t="s">
        <v>571</v>
      </c>
      <c r="C149" s="260">
        <f>監視サービス登録書!C149</f>
        <v>0</v>
      </c>
      <c r="D149" s="119">
        <v>4</v>
      </c>
      <c r="E149" s="133" t="str">
        <f>IF(監視サービス登録書!C$123&gt;=D149,"必須","")</f>
        <v/>
      </c>
      <c r="F149" s="86" t="str">
        <f t="shared" si="7"/>
        <v/>
      </c>
      <c r="G149" s="141"/>
      <c r="H149" s="144"/>
      <c r="I149" s="138"/>
    </row>
    <row r="150" spans="1:9">
      <c r="A150" s="87" t="s">
        <v>272</v>
      </c>
      <c r="B150" s="88" t="s">
        <v>572</v>
      </c>
      <c r="C150" s="260">
        <f>監視サービス登録書!C150</f>
        <v>0</v>
      </c>
      <c r="D150" s="119">
        <v>4</v>
      </c>
      <c r="E150" s="133" t="s">
        <v>944</v>
      </c>
      <c r="F150" s="86" t="str">
        <f t="shared" si="7"/>
        <v/>
      </c>
      <c r="G150" s="141"/>
      <c r="H150" s="144"/>
      <c r="I150" s="138"/>
    </row>
    <row r="151" spans="1:9" ht="13.5" customHeight="1">
      <c r="A151" s="87" t="s">
        <v>273</v>
      </c>
      <c r="B151" s="88" t="s">
        <v>904</v>
      </c>
      <c r="C151" s="260">
        <f>監視サービス登録書!D151</f>
        <v>0</v>
      </c>
      <c r="D151" s="119">
        <v>4</v>
      </c>
      <c r="E151" s="133" t="str">
        <f>IF(RIGHT(監視サービス登録書!C$16,4)="プラン）","必須","必須／任意")</f>
        <v>必須／任意</v>
      </c>
      <c r="F151" s="86" t="str">
        <f t="shared" si="7"/>
        <v/>
      </c>
      <c r="G151" s="141"/>
      <c r="H151" s="144"/>
      <c r="I151" s="138"/>
    </row>
    <row r="152" spans="1:9" ht="13.5" customHeight="1">
      <c r="A152" s="87" t="s">
        <v>274</v>
      </c>
      <c r="B152" s="88" t="s">
        <v>573</v>
      </c>
      <c r="C152" s="260">
        <f>監視サービス登録書!C152</f>
        <v>0</v>
      </c>
      <c r="D152" s="119">
        <v>4</v>
      </c>
      <c r="E152" s="133" t="str">
        <f>IF(監視サービス登録書!C$123&lt;D152,"","必須")</f>
        <v/>
      </c>
      <c r="F152" s="86" t="str">
        <f t="shared" si="7"/>
        <v/>
      </c>
      <c r="G152" s="141" t="str">
        <f>IF(監視サービス登録書!B152="","",IF(監視サービス登録書!C152&gt;(監視サービス登録書!C147)+1,"！",IF(監視サービス登録書!C157="","",IF(監視サービス登録書!C152&lt;=監視サービス登録書!C157,"","！"))))</f>
        <v/>
      </c>
      <c r="H152" s="144"/>
      <c r="I152" s="138" t="str">
        <f>IF(監視サービス登録書!B152="","",IF(監視サービス登録書!C157&lt;&gt;"","",IF(監視サービス登録書!C152=COUNTA(監視サービス登録書!C$73,監視サービス登録書!C$76,監視サービス登録書!C$79,監視サービス登録書!C$82,監視サービス登録書!C$85,監視サービス登録書!C$88,監視サービス登録書!C$91,監視サービス登録書!C$94),"","！")))</f>
        <v/>
      </c>
    </row>
    <row r="153" spans="1:9" ht="13.5" customHeight="1">
      <c r="A153" s="87" t="s">
        <v>275</v>
      </c>
      <c r="B153" s="88" t="s">
        <v>574</v>
      </c>
      <c r="C153" s="260">
        <f>監視サービス登録書!C153</f>
        <v>0</v>
      </c>
      <c r="D153" s="119">
        <v>4</v>
      </c>
      <c r="E153" s="133" t="str">
        <f>IF(監視サービス登録書!B153="","",IF(監視サービス登録書!C$123&lt;D153,"",IF(監視サービス登録書!C$131="有り","必須","")))</f>
        <v/>
      </c>
      <c r="F153" s="86" t="str">
        <f t="shared" si="7"/>
        <v/>
      </c>
      <c r="G153" s="141"/>
      <c r="H153" s="144"/>
      <c r="I153" s="138"/>
    </row>
    <row r="154" spans="1:9" ht="13.5" customHeight="1">
      <c r="A154" s="87" t="s">
        <v>276</v>
      </c>
      <c r="B154" s="88" t="s">
        <v>575</v>
      </c>
      <c r="C154" s="260">
        <f>監視サービス登録書!C154</f>
        <v>0</v>
      </c>
      <c r="D154" s="119">
        <v>5</v>
      </c>
      <c r="E154" s="133" t="str">
        <f>IF(監視サービス登録書!C$123&gt;=D154,"必須","")</f>
        <v/>
      </c>
      <c r="F154" s="86" t="str">
        <f t="shared" si="7"/>
        <v/>
      </c>
      <c r="G154" s="141"/>
      <c r="H154" s="144"/>
      <c r="I154" s="138"/>
    </row>
    <row r="155" spans="1:9">
      <c r="A155" s="87" t="s">
        <v>277</v>
      </c>
      <c r="B155" s="88" t="s">
        <v>576</v>
      </c>
      <c r="C155" s="260">
        <f>監視サービス登録書!C155</f>
        <v>0</v>
      </c>
      <c r="D155" s="119">
        <v>5</v>
      </c>
      <c r="E155" s="133" t="s">
        <v>944</v>
      </c>
      <c r="F155" s="86" t="str">
        <f t="shared" si="7"/>
        <v/>
      </c>
      <c r="G155" s="141"/>
      <c r="H155" s="144"/>
      <c r="I155" s="138"/>
    </row>
    <row r="156" spans="1:9" ht="13.5" customHeight="1">
      <c r="A156" s="87" t="s">
        <v>278</v>
      </c>
      <c r="B156" s="88" t="s">
        <v>905</v>
      </c>
      <c r="C156" s="260">
        <f>監視サービス登録書!D156</f>
        <v>0</v>
      </c>
      <c r="D156" s="119">
        <v>5</v>
      </c>
      <c r="E156" s="133" t="str">
        <f>IF(RIGHT(監視サービス登録書!C$16,4)="プラン）","必須","必須／任意")</f>
        <v>必須／任意</v>
      </c>
      <c r="F156" s="86" t="str">
        <f t="shared" si="7"/>
        <v/>
      </c>
      <c r="G156" s="141"/>
      <c r="H156" s="144"/>
      <c r="I156" s="138"/>
    </row>
    <row r="157" spans="1:9" ht="13.5" customHeight="1">
      <c r="A157" s="87" t="s">
        <v>279</v>
      </c>
      <c r="B157" s="88" t="s">
        <v>577</v>
      </c>
      <c r="C157" s="260">
        <f>監視サービス登録書!C157</f>
        <v>0</v>
      </c>
      <c r="D157" s="119">
        <v>5</v>
      </c>
      <c r="E157" s="133" t="str">
        <f>IF(監視サービス登録書!C$123&lt;D157,"","必須")</f>
        <v/>
      </c>
      <c r="F157" s="86" t="str">
        <f t="shared" si="7"/>
        <v/>
      </c>
      <c r="G157" s="141" t="str">
        <f>IF(監視サービス登録書!B157="","",IF(監視サービス登録書!C157&gt;(監視サービス登録書!C152)+1,"！",IF(監視サービス登録書!C162="","",IF(監視サービス登録書!C157&lt;=監視サービス登録書!C162,"","！"))))</f>
        <v/>
      </c>
      <c r="H157" s="144"/>
      <c r="I157" s="138" t="str">
        <f>IF(監視サービス登録書!B157="","",IF(監視サービス登録書!C162&lt;&gt;"","",IF(監視サービス登録書!C157=COUNTA(監視サービス登録書!C$73,監視サービス登録書!C$76,監視サービス登録書!C$79,監視サービス登録書!C$82,監視サービス登録書!C$85,監視サービス登録書!C$88,監視サービス登録書!C$91,監視サービス登録書!C$94),"","！")))</f>
        <v/>
      </c>
    </row>
    <row r="158" spans="1:9" ht="13.5" customHeight="1">
      <c r="A158" s="87" t="s">
        <v>280</v>
      </c>
      <c r="B158" s="88" t="s">
        <v>578</v>
      </c>
      <c r="C158" s="260">
        <f>監視サービス登録書!C158</f>
        <v>0</v>
      </c>
      <c r="D158" s="119">
        <v>5</v>
      </c>
      <c r="E158" s="133" t="str">
        <f>IF(監視サービス登録書!B158="","",IF(監視サービス登録書!C$123&lt;D158,"",IF(監視サービス登録書!C$131="有り","必須","")))</f>
        <v/>
      </c>
      <c r="F158" s="86" t="str">
        <f t="shared" si="7"/>
        <v/>
      </c>
      <c r="G158" s="141"/>
      <c r="H158" s="144"/>
      <c r="I158" s="138"/>
    </row>
    <row r="159" spans="1:9" ht="13.5" customHeight="1">
      <c r="A159" s="87" t="s">
        <v>281</v>
      </c>
      <c r="B159" s="88" t="s">
        <v>579</v>
      </c>
      <c r="C159" s="260">
        <f>監視サービス登録書!C159</f>
        <v>0</v>
      </c>
      <c r="D159" s="119">
        <v>6</v>
      </c>
      <c r="E159" s="133" t="str">
        <f>IF(監視サービス登録書!C$123&gt;=D159,"必須","")</f>
        <v/>
      </c>
      <c r="F159" s="86" t="str">
        <f t="shared" si="7"/>
        <v/>
      </c>
      <c r="G159" s="141"/>
      <c r="H159" s="144"/>
      <c r="I159" s="138"/>
    </row>
    <row r="160" spans="1:9">
      <c r="A160" s="87" t="s">
        <v>282</v>
      </c>
      <c r="B160" s="88" t="s">
        <v>580</v>
      </c>
      <c r="C160" s="260">
        <f>監視サービス登録書!C160</f>
        <v>0</v>
      </c>
      <c r="D160" s="119">
        <v>6</v>
      </c>
      <c r="E160" s="133" t="s">
        <v>944</v>
      </c>
      <c r="F160" s="86" t="str">
        <f t="shared" si="7"/>
        <v/>
      </c>
      <c r="G160" s="141"/>
      <c r="H160" s="144"/>
      <c r="I160" s="138"/>
    </row>
    <row r="161" spans="1:9" ht="13.5" customHeight="1">
      <c r="A161" s="87" t="s">
        <v>283</v>
      </c>
      <c r="B161" s="88" t="s">
        <v>906</v>
      </c>
      <c r="C161" s="260">
        <f>監視サービス登録書!D161</f>
        <v>0</v>
      </c>
      <c r="D161" s="119">
        <v>6</v>
      </c>
      <c r="E161" s="133" t="str">
        <f>IF(RIGHT(監視サービス登録書!C$16,4)="プラン）","必須","必須／任意")</f>
        <v>必須／任意</v>
      </c>
      <c r="F161" s="86" t="str">
        <f t="shared" si="7"/>
        <v/>
      </c>
      <c r="G161" s="141"/>
      <c r="H161" s="144"/>
      <c r="I161" s="138"/>
    </row>
    <row r="162" spans="1:9" ht="13.5" customHeight="1">
      <c r="A162" s="87" t="s">
        <v>284</v>
      </c>
      <c r="B162" s="88" t="s">
        <v>581</v>
      </c>
      <c r="C162" s="260">
        <f>監視サービス登録書!C162</f>
        <v>0</v>
      </c>
      <c r="D162" s="119">
        <v>6</v>
      </c>
      <c r="E162" s="133" t="str">
        <f>IF(監視サービス登録書!C$123&lt;D162,"","必須")</f>
        <v/>
      </c>
      <c r="F162" s="86" t="str">
        <f t="shared" si="7"/>
        <v/>
      </c>
      <c r="G162" s="141" t="str">
        <f>IF(監視サービス登録書!B162="","",IF(監視サービス登録書!C162&gt;(監視サービス登録書!C157)+1,"！",IF(監視サービス登録書!C167="","",IF(監視サービス登録書!C162&lt;=監視サービス登録書!C167,"","！"))))</f>
        <v/>
      </c>
      <c r="H162" s="144"/>
      <c r="I162" s="138" t="str">
        <f>IF(監視サービス登録書!B162="","",IF(監視サービス登録書!C167&lt;&gt;"","",IF(監視サービス登録書!C162=COUNTA(監視サービス登録書!C$73,監視サービス登録書!C$76,監視サービス登録書!C$79,監視サービス登録書!C$82,監視サービス登録書!C$85,監視サービス登録書!C$88,監視サービス登録書!C$91,監視サービス登録書!C$94),"","！")))</f>
        <v/>
      </c>
    </row>
    <row r="163" spans="1:9" ht="13.5" customHeight="1">
      <c r="A163" s="87" t="s">
        <v>285</v>
      </c>
      <c r="B163" s="88" t="s">
        <v>582</v>
      </c>
      <c r="C163" s="260">
        <f>監視サービス登録書!C163</f>
        <v>0</v>
      </c>
      <c r="D163" s="119">
        <v>6</v>
      </c>
      <c r="E163" s="133" t="str">
        <f>IF(監視サービス登録書!B163="","",IF(監視サービス登録書!C$123&lt;D163,"",IF(監視サービス登録書!C$131="有り","必須","")))</f>
        <v/>
      </c>
      <c r="F163" s="86" t="str">
        <f t="shared" si="7"/>
        <v/>
      </c>
      <c r="G163" s="141"/>
      <c r="H163" s="144"/>
      <c r="I163" s="138"/>
    </row>
    <row r="164" spans="1:9" ht="13.5" customHeight="1">
      <c r="A164" s="87" t="s">
        <v>286</v>
      </c>
      <c r="B164" s="88" t="s">
        <v>583</v>
      </c>
      <c r="C164" s="260">
        <f>監視サービス登録書!C164</f>
        <v>0</v>
      </c>
      <c r="D164" s="119">
        <v>7</v>
      </c>
      <c r="E164" s="133" t="str">
        <f>IF(監視サービス登録書!C$123&gt;=D164,"必須","")</f>
        <v/>
      </c>
      <c r="F164" s="86" t="str">
        <f t="shared" si="7"/>
        <v/>
      </c>
      <c r="G164" s="141"/>
      <c r="H164" s="144"/>
      <c r="I164" s="138"/>
    </row>
    <row r="165" spans="1:9">
      <c r="A165" s="87" t="s">
        <v>287</v>
      </c>
      <c r="B165" s="88" t="s">
        <v>584</v>
      </c>
      <c r="C165" s="260">
        <f>監視サービス登録書!C165</f>
        <v>0</v>
      </c>
      <c r="D165" s="119">
        <v>7</v>
      </c>
      <c r="E165" s="133" t="s">
        <v>944</v>
      </c>
      <c r="F165" s="86" t="str">
        <f t="shared" si="7"/>
        <v/>
      </c>
      <c r="G165" s="141"/>
      <c r="H165" s="144"/>
      <c r="I165" s="138"/>
    </row>
    <row r="166" spans="1:9" ht="13.5" customHeight="1">
      <c r="A166" s="87" t="s">
        <v>288</v>
      </c>
      <c r="B166" s="88" t="s">
        <v>907</v>
      </c>
      <c r="C166" s="260">
        <f>監視サービス登録書!D166</f>
        <v>0</v>
      </c>
      <c r="D166" s="119">
        <v>7</v>
      </c>
      <c r="E166" s="133" t="str">
        <f>IF(RIGHT(監視サービス登録書!C$16,4)="プラン）","必須","必須／任意")</f>
        <v>必須／任意</v>
      </c>
      <c r="F166" s="86" t="str">
        <f t="shared" si="7"/>
        <v/>
      </c>
      <c r="G166" s="141"/>
      <c r="H166" s="144"/>
      <c r="I166" s="138"/>
    </row>
    <row r="167" spans="1:9" ht="13.5" customHeight="1">
      <c r="A167" s="87" t="s">
        <v>289</v>
      </c>
      <c r="B167" s="88" t="s">
        <v>585</v>
      </c>
      <c r="C167" s="260">
        <f>監視サービス登録書!C167</f>
        <v>0</v>
      </c>
      <c r="D167" s="119">
        <v>7</v>
      </c>
      <c r="E167" s="133" t="str">
        <f>IF(監視サービス登録書!C$123&lt;D167,"","必須")</f>
        <v/>
      </c>
      <c r="F167" s="86" t="str">
        <f t="shared" si="7"/>
        <v/>
      </c>
      <c r="G167" s="141" t="str">
        <f>IF(監視サービス登録書!B167="","",IF(監視サービス登録書!C167&gt;(監視サービス登録書!C162)+1,"！",IF(監視サービス登録書!C172="","",IF(監視サービス登録書!C167&lt;=監視サービス登録書!C172,"","！"))))</f>
        <v/>
      </c>
      <c r="H167" s="144"/>
      <c r="I167" s="138" t="str">
        <f>IF(監視サービス登録書!B167="","",IF(監視サービス登録書!C172&lt;&gt;"","",IF(監視サービス登録書!C167=COUNTA(監視サービス登録書!C$73,監視サービス登録書!C$76,監視サービス登録書!C$79,監視サービス登録書!C$82,監視サービス登録書!C$85,監視サービス登録書!C$88,監視サービス登録書!C$91,監視サービス登録書!C$94),"","！")))</f>
        <v/>
      </c>
    </row>
    <row r="168" spans="1:9" ht="13.5" customHeight="1">
      <c r="A168" s="87" t="s">
        <v>290</v>
      </c>
      <c r="B168" s="88" t="s">
        <v>586</v>
      </c>
      <c r="C168" s="260">
        <f>監視サービス登録書!C168</f>
        <v>0</v>
      </c>
      <c r="D168" s="119">
        <v>7</v>
      </c>
      <c r="E168" s="133" t="str">
        <f>IF(監視サービス登録書!B168="","",IF(監視サービス登録書!C$123&lt;D168,"",IF(監視サービス登録書!C$131="有り","必須","")))</f>
        <v/>
      </c>
      <c r="F168" s="86" t="str">
        <f t="shared" si="7"/>
        <v/>
      </c>
      <c r="G168" s="141"/>
      <c r="H168" s="144"/>
      <c r="I168" s="138"/>
    </row>
    <row r="169" spans="1:9" ht="13.5" customHeight="1">
      <c r="A169" s="87" t="s">
        <v>291</v>
      </c>
      <c r="B169" s="88" t="s">
        <v>587</v>
      </c>
      <c r="C169" s="260">
        <f>監視サービス登録書!C169</f>
        <v>0</v>
      </c>
      <c r="D169" s="119">
        <v>8</v>
      </c>
      <c r="E169" s="133" t="str">
        <f>IF(監視サービス登録書!C$123&gt;=D169,"必須","")</f>
        <v/>
      </c>
      <c r="F169" s="86" t="str">
        <f t="shared" si="7"/>
        <v/>
      </c>
      <c r="G169" s="141"/>
      <c r="H169" s="144"/>
      <c r="I169" s="138"/>
    </row>
    <row r="170" spans="1:9">
      <c r="A170" s="87" t="s">
        <v>292</v>
      </c>
      <c r="B170" s="88" t="s">
        <v>588</v>
      </c>
      <c r="C170" s="260">
        <f>監視サービス登録書!C170</f>
        <v>0</v>
      </c>
      <c r="D170" s="119">
        <v>8</v>
      </c>
      <c r="E170" s="133" t="s">
        <v>944</v>
      </c>
      <c r="F170" s="86" t="str">
        <f t="shared" si="7"/>
        <v/>
      </c>
      <c r="G170" s="141"/>
      <c r="H170" s="144"/>
      <c r="I170" s="138"/>
    </row>
    <row r="171" spans="1:9" ht="13.5" customHeight="1">
      <c r="A171" s="87" t="s">
        <v>293</v>
      </c>
      <c r="B171" s="88" t="s">
        <v>908</v>
      </c>
      <c r="C171" s="260">
        <f>監視サービス登録書!D171</f>
        <v>0</v>
      </c>
      <c r="D171" s="119">
        <v>8</v>
      </c>
      <c r="E171" s="133" t="str">
        <f>IF(RIGHT(監視サービス登録書!C$16,4)="プラン）","必須","必須／任意")</f>
        <v>必須／任意</v>
      </c>
      <c r="F171" s="86" t="str">
        <f t="shared" si="7"/>
        <v/>
      </c>
      <c r="G171" s="141"/>
      <c r="H171" s="144"/>
      <c r="I171" s="138"/>
    </row>
    <row r="172" spans="1:9" ht="13.5" customHeight="1">
      <c r="A172" s="87" t="s">
        <v>294</v>
      </c>
      <c r="B172" s="88" t="s">
        <v>589</v>
      </c>
      <c r="C172" s="260">
        <f>監視サービス登録書!C172</f>
        <v>0</v>
      </c>
      <c r="D172" s="119">
        <v>8</v>
      </c>
      <c r="E172" s="133" t="str">
        <f>IF(監視サービス登録書!C$123&lt;D172,"","必須")</f>
        <v/>
      </c>
      <c r="F172" s="86" t="str">
        <f t="shared" si="7"/>
        <v/>
      </c>
      <c r="G172" s="141" t="str">
        <f>IF(監視サービス登録書!B172="","",IF(監視サービス登録書!C172&gt;(監視サービス登録書!C167)+1,"！",IF(監視サービス登録書!C177="","",IF(監視サービス登録書!C172&lt;=監視サービス登録書!C177,"","！"))))</f>
        <v/>
      </c>
      <c r="H172" s="144"/>
      <c r="I172" s="138" t="str">
        <f>IF(監視サービス登録書!B172="","",IF(監視サービス登録書!C177&lt;&gt;"","",IF(監視サービス登録書!C172=COUNTA(監視サービス登録書!C$73,監視サービス登録書!C$76,監視サービス登録書!C$79,監視サービス登録書!C$82,監視サービス登録書!C$85,監視サービス登録書!C$88,監視サービス登録書!C$91,監視サービス登録書!C$94),"","！")))</f>
        <v/>
      </c>
    </row>
    <row r="173" spans="1:9" ht="13.5" customHeight="1">
      <c r="A173" s="87" t="s">
        <v>295</v>
      </c>
      <c r="B173" s="88" t="s">
        <v>590</v>
      </c>
      <c r="C173" s="260">
        <f>監視サービス登録書!C173</f>
        <v>0</v>
      </c>
      <c r="D173" s="119">
        <v>8</v>
      </c>
      <c r="E173" s="133" t="str">
        <f>IF(監視サービス登録書!B173="","",IF(監視サービス登録書!C$123&lt;D173,"",IF(監視サービス登録書!C$131="有り","必須","")))</f>
        <v/>
      </c>
      <c r="F173" s="86" t="str">
        <f t="shared" si="7"/>
        <v/>
      </c>
      <c r="G173" s="141"/>
      <c r="H173" s="144"/>
      <c r="I173" s="138"/>
    </row>
    <row r="174" spans="1:9" ht="13.5" customHeight="1">
      <c r="A174" s="87" t="s">
        <v>296</v>
      </c>
      <c r="B174" s="88" t="s">
        <v>591</v>
      </c>
      <c r="C174" s="260">
        <f>監視サービス登録書!C174</f>
        <v>0</v>
      </c>
      <c r="D174" s="119">
        <v>9</v>
      </c>
      <c r="E174" s="133" t="str">
        <f>IF(監視サービス登録書!C$123&gt;=D174,"必須","")</f>
        <v/>
      </c>
      <c r="F174" s="86" t="str">
        <f t="shared" si="7"/>
        <v/>
      </c>
      <c r="G174" s="141"/>
      <c r="H174" s="144"/>
      <c r="I174" s="138"/>
    </row>
    <row r="175" spans="1:9">
      <c r="A175" s="87" t="s">
        <v>297</v>
      </c>
      <c r="B175" s="88" t="s">
        <v>592</v>
      </c>
      <c r="C175" s="260">
        <f>監視サービス登録書!C175</f>
        <v>0</v>
      </c>
      <c r="D175" s="119">
        <v>9</v>
      </c>
      <c r="E175" s="133" t="s">
        <v>944</v>
      </c>
      <c r="F175" s="86" t="str">
        <f t="shared" si="7"/>
        <v/>
      </c>
      <c r="G175" s="141"/>
      <c r="H175" s="144"/>
      <c r="I175" s="138"/>
    </row>
    <row r="176" spans="1:9" ht="13.5" customHeight="1">
      <c r="A176" s="87" t="s">
        <v>298</v>
      </c>
      <c r="B176" s="88" t="s">
        <v>909</v>
      </c>
      <c r="C176" s="260">
        <f>監視サービス登録書!D176</f>
        <v>0</v>
      </c>
      <c r="D176" s="119">
        <v>9</v>
      </c>
      <c r="E176" s="133" t="str">
        <f>IF(RIGHT(監視サービス登録書!C$16,4)="プラン）","必須","必須／任意")</f>
        <v>必須／任意</v>
      </c>
      <c r="F176" s="86" t="str">
        <f t="shared" si="7"/>
        <v/>
      </c>
      <c r="G176" s="141"/>
      <c r="H176" s="144"/>
      <c r="I176" s="138"/>
    </row>
    <row r="177" spans="1:9" ht="13.5" customHeight="1">
      <c r="A177" s="87" t="s">
        <v>299</v>
      </c>
      <c r="B177" s="88" t="s">
        <v>593</v>
      </c>
      <c r="C177" s="260">
        <f>監視サービス登録書!C177</f>
        <v>0</v>
      </c>
      <c r="D177" s="119">
        <v>9</v>
      </c>
      <c r="E177" s="133" t="str">
        <f>IF(監視サービス登録書!C$123&lt;D177,"","必須")</f>
        <v/>
      </c>
      <c r="F177" s="86" t="str">
        <f t="shared" si="7"/>
        <v/>
      </c>
      <c r="G177" s="141" t="str">
        <f>IF(監視サービス登録書!B177="","",IF(監視サービス登録書!C177&gt;(監視サービス登録書!C172)+1,"！",IF(監視サービス登録書!C182="","",IF(監視サービス登録書!C177&lt;=監視サービス登録書!C182,"","！"))))</f>
        <v/>
      </c>
      <c r="H177" s="144"/>
      <c r="I177" s="138" t="str">
        <f>IF(監視サービス登録書!B177="","",IF(監視サービス登録書!C182&lt;&gt;"","",IF(監視サービス登録書!C177=COUNTA(監視サービス登録書!C$73,監視サービス登録書!C$76,監視サービス登録書!C$79,監視サービス登録書!C$82,監視サービス登録書!C$85,監視サービス登録書!C$88,監視サービス登録書!C$91,監視サービス登録書!C$94),"","！")))</f>
        <v/>
      </c>
    </row>
    <row r="178" spans="1:9" ht="13.5" customHeight="1">
      <c r="A178" s="87" t="s">
        <v>300</v>
      </c>
      <c r="B178" s="88" t="s">
        <v>594</v>
      </c>
      <c r="C178" s="260">
        <f>監視サービス登録書!C178</f>
        <v>0</v>
      </c>
      <c r="D178" s="119">
        <v>9</v>
      </c>
      <c r="E178" s="133" t="str">
        <f>IF(監視サービス登録書!B178="","",IF(監視サービス登録書!C$123&lt;D178,"",IF(監視サービス登録書!C$131="有り","必須","")))</f>
        <v/>
      </c>
      <c r="F178" s="86" t="str">
        <f t="shared" si="7"/>
        <v/>
      </c>
      <c r="G178" s="141"/>
      <c r="H178" s="144"/>
      <c r="I178" s="138"/>
    </row>
    <row r="179" spans="1:9" ht="13.5" customHeight="1">
      <c r="A179" s="87" t="s">
        <v>301</v>
      </c>
      <c r="B179" s="88" t="s">
        <v>595</v>
      </c>
      <c r="C179" s="260">
        <f>監視サービス登録書!C179</f>
        <v>0</v>
      </c>
      <c r="D179" s="119">
        <v>10</v>
      </c>
      <c r="E179" s="133" t="str">
        <f>IF(監視サービス登録書!C$123&gt;=D179,"必須","")</f>
        <v/>
      </c>
      <c r="F179" s="86" t="str">
        <f t="shared" si="7"/>
        <v/>
      </c>
      <c r="G179" s="141"/>
      <c r="H179" s="144"/>
      <c r="I179" s="138"/>
    </row>
    <row r="180" spans="1:9">
      <c r="A180" s="87" t="s">
        <v>302</v>
      </c>
      <c r="B180" s="88" t="s">
        <v>596</v>
      </c>
      <c r="C180" s="260">
        <f>監視サービス登録書!C180</f>
        <v>0</v>
      </c>
      <c r="D180" s="119">
        <v>10</v>
      </c>
      <c r="E180" s="133" t="s">
        <v>944</v>
      </c>
      <c r="F180" s="86" t="str">
        <f t="shared" si="7"/>
        <v/>
      </c>
      <c r="G180" s="141"/>
      <c r="H180" s="144"/>
      <c r="I180" s="138"/>
    </row>
    <row r="181" spans="1:9" ht="13.5" customHeight="1">
      <c r="A181" s="87" t="s">
        <v>303</v>
      </c>
      <c r="B181" s="88" t="s">
        <v>910</v>
      </c>
      <c r="C181" s="260">
        <f>監視サービス登録書!D181</f>
        <v>0</v>
      </c>
      <c r="D181" s="119">
        <v>10</v>
      </c>
      <c r="E181" s="133" t="str">
        <f>IF(RIGHT(監視サービス登録書!C$16,4)="プラン）","必須","必須／任意")</f>
        <v>必須／任意</v>
      </c>
      <c r="F181" s="86" t="str">
        <f t="shared" si="7"/>
        <v/>
      </c>
      <c r="G181" s="141"/>
      <c r="H181" s="144"/>
      <c r="I181" s="138"/>
    </row>
    <row r="182" spans="1:9" ht="13.5" customHeight="1">
      <c r="A182" s="87" t="s">
        <v>304</v>
      </c>
      <c r="B182" s="88" t="s">
        <v>597</v>
      </c>
      <c r="C182" s="260">
        <f>監視サービス登録書!C182</f>
        <v>0</v>
      </c>
      <c r="D182" s="119">
        <v>10</v>
      </c>
      <c r="E182" s="133" t="str">
        <f>IF(監視サービス登録書!C$123&lt;D182,"","必須")</f>
        <v/>
      </c>
      <c r="F182" s="86" t="str">
        <f t="shared" ref="F182:F245" si="8">IF(G182&lt;&gt;"",G182,IF(H182&lt;&gt;"",H182,IF(I182&lt;&gt;"",I182,"")))</f>
        <v/>
      </c>
      <c r="G182" s="141" t="str">
        <f>IF(監視サービス登録書!B182="","",IF(監視サービス登録書!C182&gt;(監視サービス登録書!C177)+1,"！",IF(監視サービス登録書!C187="","",IF(監視サービス登録書!C182&lt;=監視サービス登録書!C187,"","！"))))</f>
        <v/>
      </c>
      <c r="H182" s="144" t="str">
        <f>IF(監視サービス登録書!B182="","",IF(LEFT(監視サービス登録書!C$16,4)="ローカル","",IF(監視サービス登録書!C182=1,"！","")))</f>
        <v/>
      </c>
      <c r="I182" s="138" t="str">
        <f>IF(監視サービス登録書!B182="","",IF(監視サービス登録書!C187&lt;&gt;"","",IF(監視サービス登録書!C182=COUNTA(監視サービス登録書!C$73,監視サービス登録書!C$76,監視サービス登録書!C$79,監視サービス登録書!C$82,監視サービス登録書!C$85,監視サービス登録書!C$88,監視サービス登録書!C$91,監視サービス登録書!C$94),"","！")))</f>
        <v/>
      </c>
    </row>
    <row r="183" spans="1:9" ht="13.5" customHeight="1">
      <c r="A183" s="87" t="s">
        <v>305</v>
      </c>
      <c r="B183" s="88" t="s">
        <v>598</v>
      </c>
      <c r="C183" s="260">
        <f>監視サービス登録書!C183</f>
        <v>0</v>
      </c>
      <c r="D183" s="119">
        <v>10</v>
      </c>
      <c r="E183" s="133" t="str">
        <f>IF(監視サービス登録書!B183="","",IF(監視サービス登録書!C$123&lt;D183,"",IF(監視サービス登録書!C$131="有り","必須","")))</f>
        <v/>
      </c>
      <c r="F183" s="86" t="str">
        <f t="shared" si="8"/>
        <v/>
      </c>
      <c r="G183" s="141"/>
      <c r="H183" s="144"/>
      <c r="I183" s="138"/>
    </row>
    <row r="184" spans="1:9" ht="13.5" customHeight="1">
      <c r="A184" s="87" t="s">
        <v>306</v>
      </c>
      <c r="B184" s="88" t="s">
        <v>599</v>
      </c>
      <c r="C184" s="260">
        <f>監視サービス登録書!C184</f>
        <v>0</v>
      </c>
      <c r="D184" s="119">
        <v>11</v>
      </c>
      <c r="E184" s="133" t="str">
        <f>IF(監視サービス登録書!C$123&gt;=D184,"必須","")</f>
        <v/>
      </c>
      <c r="F184" s="86" t="str">
        <f t="shared" si="8"/>
        <v/>
      </c>
      <c r="G184" s="141"/>
      <c r="H184" s="144"/>
      <c r="I184" s="138"/>
    </row>
    <row r="185" spans="1:9">
      <c r="A185" s="87" t="s">
        <v>307</v>
      </c>
      <c r="B185" s="88" t="s">
        <v>600</v>
      </c>
      <c r="C185" s="260">
        <f>監視サービス登録書!C185</f>
        <v>0</v>
      </c>
      <c r="D185" s="119">
        <v>11</v>
      </c>
      <c r="E185" s="133" t="s">
        <v>944</v>
      </c>
      <c r="F185" s="86" t="str">
        <f t="shared" si="8"/>
        <v/>
      </c>
      <c r="G185" s="141"/>
      <c r="H185" s="144"/>
      <c r="I185" s="138"/>
    </row>
    <row r="186" spans="1:9" ht="13.5" customHeight="1">
      <c r="A186" s="87" t="s">
        <v>308</v>
      </c>
      <c r="B186" s="88" t="s">
        <v>911</v>
      </c>
      <c r="C186" s="260">
        <f>監視サービス登録書!D186</f>
        <v>0</v>
      </c>
      <c r="D186" s="119">
        <v>11</v>
      </c>
      <c r="E186" s="133" t="str">
        <f>IF(RIGHT(監視サービス登録書!C$16,4)="プラン）","必須","必須／任意")</f>
        <v>必須／任意</v>
      </c>
      <c r="F186" s="86" t="str">
        <f t="shared" si="8"/>
        <v/>
      </c>
      <c r="G186" s="141"/>
      <c r="H186" s="144"/>
      <c r="I186" s="138"/>
    </row>
    <row r="187" spans="1:9" ht="13.5" customHeight="1">
      <c r="A187" s="87" t="s">
        <v>309</v>
      </c>
      <c r="B187" s="88" t="s">
        <v>873</v>
      </c>
      <c r="C187" s="260">
        <f>監視サービス登録書!C187</f>
        <v>0</v>
      </c>
      <c r="D187" s="119">
        <v>11</v>
      </c>
      <c r="E187" s="133" t="str">
        <f>IF(監視サービス登録書!C$123&lt;D187,"","必須")</f>
        <v/>
      </c>
      <c r="F187" s="86" t="str">
        <f>IF(G187&lt;&gt;"",G187,IF(H187&lt;&gt;"",H187,IF(I187&lt;&gt;"",I187,"")))</f>
        <v/>
      </c>
      <c r="G187" s="141" t="str">
        <f>IF(監視サービス登録書!B187="","",IF(監視サービス登録書!C187&gt;(監視サービス登録書!C182)+1,"！",IF(監視サービス登録書!C192="","",IF(監視サービス登録書!C187&lt;=監視サービス登録書!C192,"","！"))))</f>
        <v/>
      </c>
      <c r="H187" s="144" t="str">
        <f>IF(監視サービス登録書!B187="","",IF(LEFT(監視サービス登録書!C$16,4)="ローカル","",IF(監視サービス登録書!C187=監視サービス登録書!C142,"！","")))</f>
        <v/>
      </c>
      <c r="I187" s="138" t="str">
        <f>IF(監視サービス登録書!B187="","",IF(監視サービス登録書!C192&lt;&gt;"","",IF(監視サービス登録書!C187=COUNTA(監視サービス登録書!C$73,監視サービス登録書!C$76,監視サービス登録書!C$79,監視サービス登録書!C$82,監視サービス登録書!C$85,監視サービス登録書!C$88,監視サービス登録書!C$91,監視サービス登録書!C$94),"","！")))</f>
        <v/>
      </c>
    </row>
    <row r="188" spans="1:9" ht="13.5" customHeight="1">
      <c r="A188" s="87" t="s">
        <v>310</v>
      </c>
      <c r="B188" s="88" t="s">
        <v>601</v>
      </c>
      <c r="C188" s="260">
        <f>監視サービス登録書!C188</f>
        <v>0</v>
      </c>
      <c r="D188" s="119">
        <v>11</v>
      </c>
      <c r="E188" s="133" t="str">
        <f>IF(監視サービス登録書!B188="","",IF(監視サービス登録書!C$123&lt;D188,"",IF(監視サービス登録書!C$131="有り","必須","")))</f>
        <v/>
      </c>
      <c r="F188" s="86" t="str">
        <f t="shared" si="8"/>
        <v/>
      </c>
      <c r="G188" s="141"/>
      <c r="H188" s="144"/>
      <c r="I188" s="138"/>
    </row>
    <row r="189" spans="1:9" ht="13.5" customHeight="1">
      <c r="A189" s="87" t="s">
        <v>311</v>
      </c>
      <c r="B189" s="88" t="s">
        <v>602</v>
      </c>
      <c r="C189" s="260">
        <f>監視サービス登録書!C189</f>
        <v>0</v>
      </c>
      <c r="D189" s="119">
        <v>12</v>
      </c>
      <c r="E189" s="133" t="str">
        <f>IF(監視サービス登録書!C$123&gt;=D189,"必須","")</f>
        <v/>
      </c>
      <c r="F189" s="86" t="str">
        <f t="shared" si="8"/>
        <v/>
      </c>
      <c r="G189" s="141"/>
      <c r="H189" s="144"/>
      <c r="I189" s="138"/>
    </row>
    <row r="190" spans="1:9">
      <c r="A190" s="87" t="s">
        <v>312</v>
      </c>
      <c r="B190" s="88" t="s">
        <v>603</v>
      </c>
      <c r="C190" s="260">
        <f>監視サービス登録書!C190</f>
        <v>0</v>
      </c>
      <c r="D190" s="119">
        <v>12</v>
      </c>
      <c r="E190" s="133" t="s">
        <v>944</v>
      </c>
      <c r="F190" s="86" t="str">
        <f t="shared" si="8"/>
        <v/>
      </c>
      <c r="G190" s="141"/>
      <c r="H190" s="144"/>
      <c r="I190" s="138"/>
    </row>
    <row r="191" spans="1:9" ht="13.5" customHeight="1">
      <c r="A191" s="87" t="s">
        <v>313</v>
      </c>
      <c r="B191" s="88" t="s">
        <v>912</v>
      </c>
      <c r="C191" s="260">
        <f>監視サービス登録書!D191</f>
        <v>0</v>
      </c>
      <c r="D191" s="119">
        <v>12</v>
      </c>
      <c r="E191" s="133" t="str">
        <f>IF(RIGHT(監視サービス登録書!C$16,4)="プラン）","必須","必須／任意")</f>
        <v>必須／任意</v>
      </c>
      <c r="F191" s="86" t="str">
        <f t="shared" si="8"/>
        <v/>
      </c>
      <c r="G191" s="141"/>
      <c r="H191" s="144"/>
      <c r="I191" s="138"/>
    </row>
    <row r="192" spans="1:9" ht="13.5" customHeight="1">
      <c r="A192" s="87" t="s">
        <v>314</v>
      </c>
      <c r="B192" s="88" t="s">
        <v>604</v>
      </c>
      <c r="C192" s="260">
        <f>監視サービス登録書!C192</f>
        <v>0</v>
      </c>
      <c r="D192" s="119">
        <v>12</v>
      </c>
      <c r="E192" s="133" t="str">
        <f>IF(監視サービス登録書!C$123&lt;D192,"","必須")</f>
        <v/>
      </c>
      <c r="F192" s="86" t="str">
        <f t="shared" si="8"/>
        <v/>
      </c>
      <c r="G192" s="141" t="str">
        <f>IF(監視サービス登録書!B192="","",IF(監視サービス登録書!C192&gt;(監視サービス登録書!C187)+1,"！",IF(監視サービス登録書!C197="","",IF(監視サービス登録書!C192&lt;=監視サービス登録書!C197,"","！"))))</f>
        <v/>
      </c>
      <c r="H192" s="144" t="str">
        <f>IF(監視サービス登録書!B192="","",IF(LEFT(監視サービス登録書!C$16,4)="ローカル","",IF(監視サービス登録書!C192=監視サービス登録書!C147,"！","")))</f>
        <v/>
      </c>
      <c r="I192" s="138" t="str">
        <f>IF(監視サービス登録書!B192="","",IF(監視サービス登録書!C197&lt;&gt;"","",IF(監視サービス登録書!C192=COUNTA(監視サービス登録書!C$73,監視サービス登録書!C$76,監視サービス登録書!C$79,監視サービス登録書!C$82,監視サービス登録書!C$85,監視サービス登録書!C$88,監視サービス登録書!C$91,監視サービス登録書!C$94),"","！")))</f>
        <v/>
      </c>
    </row>
    <row r="193" spans="1:9" ht="13.5" customHeight="1">
      <c r="A193" s="87" t="s">
        <v>315</v>
      </c>
      <c r="B193" s="88" t="s">
        <v>605</v>
      </c>
      <c r="C193" s="260">
        <f>監視サービス登録書!C193</f>
        <v>0</v>
      </c>
      <c r="D193" s="119">
        <v>12</v>
      </c>
      <c r="E193" s="133" t="str">
        <f>IF(監視サービス登録書!B193="","",IF(監視サービス登録書!C$123&lt;D193,"",IF(監視サービス登録書!C$131="有り","必須","")))</f>
        <v/>
      </c>
      <c r="F193" s="86" t="str">
        <f t="shared" si="8"/>
        <v/>
      </c>
      <c r="G193" s="141"/>
      <c r="H193" s="144"/>
      <c r="I193" s="138"/>
    </row>
    <row r="194" spans="1:9" ht="13.5" customHeight="1">
      <c r="A194" s="87" t="s">
        <v>316</v>
      </c>
      <c r="B194" s="88" t="s">
        <v>606</v>
      </c>
      <c r="C194" s="260">
        <f>監視サービス登録書!C194</f>
        <v>0</v>
      </c>
      <c r="D194" s="119">
        <v>13</v>
      </c>
      <c r="E194" s="133" t="str">
        <f>IF(監視サービス登録書!C$123&gt;=D194,"必須","")</f>
        <v/>
      </c>
      <c r="F194" s="86" t="str">
        <f t="shared" si="8"/>
        <v/>
      </c>
      <c r="G194" s="141"/>
      <c r="H194" s="144"/>
      <c r="I194" s="138"/>
    </row>
    <row r="195" spans="1:9">
      <c r="A195" s="87" t="s">
        <v>317</v>
      </c>
      <c r="B195" s="88" t="s">
        <v>607</v>
      </c>
      <c r="C195" s="260">
        <f>監視サービス登録書!C195</f>
        <v>0</v>
      </c>
      <c r="D195" s="119">
        <v>13</v>
      </c>
      <c r="E195" s="133" t="s">
        <v>944</v>
      </c>
      <c r="F195" s="86" t="str">
        <f t="shared" si="8"/>
        <v/>
      </c>
      <c r="G195" s="141"/>
      <c r="H195" s="144"/>
      <c r="I195" s="138"/>
    </row>
    <row r="196" spans="1:9" ht="13.5" customHeight="1">
      <c r="A196" s="87" t="s">
        <v>318</v>
      </c>
      <c r="B196" s="88" t="s">
        <v>913</v>
      </c>
      <c r="C196" s="260">
        <f>監視サービス登録書!D196</f>
        <v>0</v>
      </c>
      <c r="D196" s="119">
        <v>13</v>
      </c>
      <c r="E196" s="133" t="str">
        <f>IF(RIGHT(監視サービス登録書!C$16,4)="プラン）","必須","必須／任意")</f>
        <v>必須／任意</v>
      </c>
      <c r="F196" s="86" t="str">
        <f t="shared" si="8"/>
        <v/>
      </c>
      <c r="G196" s="141"/>
      <c r="H196" s="144"/>
      <c r="I196" s="138"/>
    </row>
    <row r="197" spans="1:9" ht="13.5" customHeight="1">
      <c r="A197" s="87" t="s">
        <v>319</v>
      </c>
      <c r="B197" s="88" t="s">
        <v>608</v>
      </c>
      <c r="C197" s="260">
        <f>監視サービス登録書!C197</f>
        <v>0</v>
      </c>
      <c r="D197" s="119">
        <v>13</v>
      </c>
      <c r="E197" s="133" t="str">
        <f>IF(監視サービス登録書!C$123&lt;D197,"","必須")</f>
        <v/>
      </c>
      <c r="F197" s="86" t="str">
        <f t="shared" si="8"/>
        <v/>
      </c>
      <c r="G197" s="141" t="str">
        <f>IF(監視サービス登録書!B197="","",IF(監視サービス登録書!C197&gt;(監視サービス登録書!C192)+1,"！",IF(監視サービス登録書!C202="","",IF(監視サービス登録書!C197&lt;=監視サービス登録書!C202,"","！"))))</f>
        <v/>
      </c>
      <c r="H197" s="144" t="str">
        <f>IF(監視サービス登録書!B197="","",IF(LEFT(監視サービス登録書!C$16,4)="ローカル","",IF(監視サービス登録書!C197=監視サービス登録書!C152,"！","")))</f>
        <v/>
      </c>
      <c r="I197" s="138" t="str">
        <f>IF(監視サービス登録書!B197="","",IF(監視サービス登録書!C202&lt;&gt;"","",IF(監視サービス登録書!C197=COUNTA(監視サービス登録書!C$73,監視サービス登録書!C$76,監視サービス登録書!C$79,監視サービス登録書!C$82,監視サービス登録書!C$85,監視サービス登録書!C$88,監視サービス登録書!C$91,監視サービス登録書!C$94),"","！")))</f>
        <v/>
      </c>
    </row>
    <row r="198" spans="1:9" ht="13.5" customHeight="1">
      <c r="A198" s="87" t="s">
        <v>320</v>
      </c>
      <c r="B198" s="88" t="s">
        <v>609</v>
      </c>
      <c r="C198" s="260">
        <f>監視サービス登録書!C198</f>
        <v>0</v>
      </c>
      <c r="D198" s="119">
        <v>13</v>
      </c>
      <c r="E198" s="133" t="str">
        <f>IF(監視サービス登録書!B198="","",IF(監視サービス登録書!C$123&lt;D198,"",IF(監視サービス登録書!C$131="有り","必須","")))</f>
        <v/>
      </c>
      <c r="F198" s="86" t="str">
        <f t="shared" si="8"/>
        <v/>
      </c>
      <c r="G198" s="141"/>
      <c r="H198" s="144"/>
      <c r="I198" s="138"/>
    </row>
    <row r="199" spans="1:9" ht="13.5" customHeight="1">
      <c r="A199" s="87" t="s">
        <v>321</v>
      </c>
      <c r="B199" s="88" t="s">
        <v>610</v>
      </c>
      <c r="C199" s="260">
        <f>監視サービス登録書!C199</f>
        <v>0</v>
      </c>
      <c r="D199" s="119">
        <v>14</v>
      </c>
      <c r="E199" s="133" t="str">
        <f>IF(監視サービス登録書!C$123&gt;=D199,"必須","")</f>
        <v/>
      </c>
      <c r="F199" s="86" t="str">
        <f t="shared" si="8"/>
        <v/>
      </c>
      <c r="G199" s="141"/>
      <c r="H199" s="144"/>
      <c r="I199" s="138"/>
    </row>
    <row r="200" spans="1:9">
      <c r="A200" s="87" t="s">
        <v>322</v>
      </c>
      <c r="B200" s="88" t="s">
        <v>611</v>
      </c>
      <c r="C200" s="260">
        <f>監視サービス登録書!C200</f>
        <v>0</v>
      </c>
      <c r="D200" s="119">
        <v>14</v>
      </c>
      <c r="E200" s="133" t="s">
        <v>944</v>
      </c>
      <c r="F200" s="86" t="str">
        <f t="shared" si="8"/>
        <v/>
      </c>
      <c r="G200" s="141"/>
      <c r="H200" s="144"/>
      <c r="I200" s="138"/>
    </row>
    <row r="201" spans="1:9" ht="13.5" customHeight="1">
      <c r="A201" s="87" t="s">
        <v>323</v>
      </c>
      <c r="B201" s="88" t="s">
        <v>914</v>
      </c>
      <c r="C201" s="260">
        <f>監視サービス登録書!D201</f>
        <v>0</v>
      </c>
      <c r="D201" s="119">
        <v>14</v>
      </c>
      <c r="E201" s="133" t="str">
        <f>IF(RIGHT(監視サービス登録書!C$16,4)="プラン）","必須","必須／任意")</f>
        <v>必須／任意</v>
      </c>
      <c r="F201" s="86" t="str">
        <f t="shared" si="8"/>
        <v/>
      </c>
      <c r="G201" s="141"/>
      <c r="H201" s="144"/>
      <c r="I201" s="138"/>
    </row>
    <row r="202" spans="1:9" ht="13.5" customHeight="1">
      <c r="A202" s="87" t="s">
        <v>324</v>
      </c>
      <c r="B202" s="88" t="s">
        <v>612</v>
      </c>
      <c r="C202" s="260">
        <f>監視サービス登録書!C202</f>
        <v>0</v>
      </c>
      <c r="D202" s="119">
        <v>14</v>
      </c>
      <c r="E202" s="133" t="str">
        <f>IF(監視サービス登録書!C$123&lt;D202,"","必須")</f>
        <v/>
      </c>
      <c r="F202" s="86" t="str">
        <f t="shared" si="8"/>
        <v/>
      </c>
      <c r="G202" s="141" t="str">
        <f>IF(監視サービス登録書!B202="","",IF(監視サービス登録書!C202&gt;(監視サービス登録書!C197)+1,"！",IF(監視サービス登録書!C207="","",IF(監視サービス登録書!C202&lt;=監視サービス登録書!C207,"","！"))))</f>
        <v/>
      </c>
      <c r="H202" s="144" t="str">
        <f>IF(監視サービス登録書!B202="","",IF(LEFT(監視サービス登録書!C$16,4)="ローカル","",IF(監視サービス登録書!C202=監視サービス登録書!C157,"！","")))</f>
        <v/>
      </c>
      <c r="I202" s="138" t="str">
        <f>IF(監視サービス登録書!B202="","",IF(監視サービス登録書!C207&lt;&gt;"","",IF(監視サービス登録書!C202=COUNTA(監視サービス登録書!C$73,監視サービス登録書!C$76,監視サービス登録書!C$79,監視サービス登録書!C$82,監視サービス登録書!C$85,監視サービス登録書!C$88,監視サービス登録書!C$91,監視サービス登録書!C$94),"","！")))</f>
        <v/>
      </c>
    </row>
    <row r="203" spans="1:9" ht="13.5" customHeight="1">
      <c r="A203" s="87" t="s">
        <v>325</v>
      </c>
      <c r="B203" s="88" t="s">
        <v>613</v>
      </c>
      <c r="C203" s="260">
        <f>監視サービス登録書!C203</f>
        <v>0</v>
      </c>
      <c r="D203" s="119">
        <v>14</v>
      </c>
      <c r="E203" s="133" t="str">
        <f>IF(監視サービス登録書!B203="","",IF(監視サービス登録書!C$123&lt;D203,"",IF(監視サービス登録書!C$131="有り","必須","")))</f>
        <v/>
      </c>
      <c r="F203" s="86" t="str">
        <f t="shared" si="8"/>
        <v/>
      </c>
      <c r="G203" s="141"/>
      <c r="H203" s="144"/>
      <c r="I203" s="138"/>
    </row>
    <row r="204" spans="1:9" ht="13.5" customHeight="1">
      <c r="A204" s="87" t="s">
        <v>326</v>
      </c>
      <c r="B204" s="88" t="s">
        <v>614</v>
      </c>
      <c r="C204" s="260">
        <f>監視サービス登録書!C204</f>
        <v>0</v>
      </c>
      <c r="D204" s="119">
        <v>15</v>
      </c>
      <c r="E204" s="133" t="str">
        <f>IF(監視サービス登録書!C$123&gt;=D204,"必須","")</f>
        <v/>
      </c>
      <c r="F204" s="86" t="str">
        <f t="shared" si="8"/>
        <v/>
      </c>
      <c r="G204" s="141"/>
      <c r="H204" s="144"/>
      <c r="I204" s="138"/>
    </row>
    <row r="205" spans="1:9">
      <c r="A205" s="87" t="s">
        <v>327</v>
      </c>
      <c r="B205" s="88" t="s">
        <v>615</v>
      </c>
      <c r="C205" s="260">
        <f>監視サービス登録書!C205</f>
        <v>0</v>
      </c>
      <c r="D205" s="119">
        <v>15</v>
      </c>
      <c r="E205" s="133" t="s">
        <v>944</v>
      </c>
      <c r="F205" s="86" t="str">
        <f t="shared" si="8"/>
        <v/>
      </c>
      <c r="G205" s="141"/>
      <c r="H205" s="144"/>
      <c r="I205" s="138"/>
    </row>
    <row r="206" spans="1:9" ht="13.5" customHeight="1">
      <c r="A206" s="87" t="s">
        <v>328</v>
      </c>
      <c r="B206" s="88" t="s">
        <v>915</v>
      </c>
      <c r="C206" s="260">
        <f>監視サービス登録書!D206</f>
        <v>0</v>
      </c>
      <c r="D206" s="119">
        <v>15</v>
      </c>
      <c r="E206" s="133" t="str">
        <f>IF(RIGHT(監視サービス登録書!C$16,4)="プラン）","必須","必須／任意")</f>
        <v>必須／任意</v>
      </c>
      <c r="F206" s="86" t="str">
        <f t="shared" si="8"/>
        <v/>
      </c>
      <c r="G206" s="141"/>
      <c r="H206" s="144"/>
      <c r="I206" s="138"/>
    </row>
    <row r="207" spans="1:9" ht="13.5" customHeight="1">
      <c r="A207" s="87" t="s">
        <v>329</v>
      </c>
      <c r="B207" s="88" t="s">
        <v>616</v>
      </c>
      <c r="C207" s="260">
        <f>監視サービス登録書!C207</f>
        <v>0</v>
      </c>
      <c r="D207" s="119">
        <v>15</v>
      </c>
      <c r="E207" s="133" t="str">
        <f>IF(監視サービス登録書!C$123&lt;D207,"","必須")</f>
        <v/>
      </c>
      <c r="F207" s="86" t="str">
        <f t="shared" si="8"/>
        <v/>
      </c>
      <c r="G207" s="141" t="str">
        <f>IF(監視サービス登録書!B207="","",IF(監視サービス登録書!C207&gt;(監視サービス登録書!C202)+1,"！",IF(監視サービス登録書!C212="","",IF(監視サービス登録書!C207&lt;=監視サービス登録書!C212,"","！"))))</f>
        <v/>
      </c>
      <c r="H207" s="144" t="str">
        <f>IF(監視サービス登録書!B207="","",IF(LEFT(監視サービス登録書!C$16,4)="ローカル","",IF(監視サービス登録書!C207=監視サービス登録書!C162,"！","")))</f>
        <v/>
      </c>
      <c r="I207" s="138" t="str">
        <f>IF(監視サービス登録書!B207="","",IF(監視サービス登録書!C212&lt;&gt;"","",IF(監視サービス登録書!C207=COUNTA(監視サービス登録書!C$73,監視サービス登録書!C$76,監視サービス登録書!C$79,監視サービス登録書!C$82,監視サービス登録書!C$85,監視サービス登録書!C$88,監視サービス登録書!C$91,監視サービス登録書!C$94),"","！")))</f>
        <v/>
      </c>
    </row>
    <row r="208" spans="1:9" ht="13.5" customHeight="1">
      <c r="A208" s="87" t="s">
        <v>330</v>
      </c>
      <c r="B208" s="88" t="s">
        <v>617</v>
      </c>
      <c r="C208" s="260">
        <f>監視サービス登録書!C208</f>
        <v>0</v>
      </c>
      <c r="D208" s="119">
        <v>15</v>
      </c>
      <c r="E208" s="133" t="str">
        <f>IF(監視サービス登録書!B208="","",IF(監視サービス登録書!C$123&lt;D208,"",IF(監視サービス登録書!C$131="有り","必須","")))</f>
        <v/>
      </c>
      <c r="F208" s="86" t="str">
        <f t="shared" si="8"/>
        <v/>
      </c>
      <c r="G208" s="141"/>
      <c r="H208" s="144"/>
      <c r="I208" s="138"/>
    </row>
    <row r="209" spans="1:9" ht="13.5" customHeight="1">
      <c r="A209" s="87" t="s">
        <v>331</v>
      </c>
      <c r="B209" s="88" t="s">
        <v>618</v>
      </c>
      <c r="C209" s="260">
        <f>監視サービス登録書!C209</f>
        <v>0</v>
      </c>
      <c r="D209" s="119">
        <v>16</v>
      </c>
      <c r="E209" s="133" t="str">
        <f>IF(監視サービス登録書!C$123&gt;=D209,"必須","")</f>
        <v/>
      </c>
      <c r="F209" s="86" t="str">
        <f t="shared" si="8"/>
        <v/>
      </c>
      <c r="G209" s="141"/>
      <c r="H209" s="144"/>
      <c r="I209" s="138"/>
    </row>
    <row r="210" spans="1:9">
      <c r="A210" s="87" t="s">
        <v>332</v>
      </c>
      <c r="B210" s="88" t="s">
        <v>619</v>
      </c>
      <c r="C210" s="260">
        <f>監視サービス登録書!C210</f>
        <v>0</v>
      </c>
      <c r="D210" s="119">
        <v>16</v>
      </c>
      <c r="E210" s="133" t="s">
        <v>944</v>
      </c>
      <c r="F210" s="86" t="str">
        <f t="shared" si="8"/>
        <v/>
      </c>
      <c r="G210" s="141"/>
      <c r="H210" s="144"/>
      <c r="I210" s="138"/>
    </row>
    <row r="211" spans="1:9" ht="13.5" customHeight="1">
      <c r="A211" s="87" t="s">
        <v>333</v>
      </c>
      <c r="B211" s="88" t="s">
        <v>916</v>
      </c>
      <c r="C211" s="260">
        <f>監視サービス登録書!D211</f>
        <v>0</v>
      </c>
      <c r="D211" s="119">
        <v>16</v>
      </c>
      <c r="E211" s="133" t="str">
        <f>IF(RIGHT(監視サービス登録書!C$16,4)="プラン）","必須","必須／任意")</f>
        <v>必須／任意</v>
      </c>
      <c r="F211" s="86" t="str">
        <f t="shared" si="8"/>
        <v/>
      </c>
      <c r="G211" s="141"/>
      <c r="H211" s="144"/>
      <c r="I211" s="138"/>
    </row>
    <row r="212" spans="1:9" ht="13.5" customHeight="1">
      <c r="A212" s="87" t="s">
        <v>334</v>
      </c>
      <c r="B212" s="88" t="s">
        <v>620</v>
      </c>
      <c r="C212" s="260">
        <f>監視サービス登録書!C212</f>
        <v>0</v>
      </c>
      <c r="D212" s="119">
        <v>16</v>
      </c>
      <c r="E212" s="133" t="str">
        <f>IF(監視サービス登録書!C$123&lt;D212,"","必須")</f>
        <v/>
      </c>
      <c r="F212" s="86" t="str">
        <f t="shared" si="8"/>
        <v/>
      </c>
      <c r="G212" s="141" t="str">
        <f>IF(監視サービス登録書!B212="","",IF(監視サービス登録書!C212&gt;(監視サービス登録書!C207)+1,"！",IF(監視サービス登録書!C217="","",IF(監視サービス登録書!C212&lt;=監視サービス登録書!C217,"","！"))))</f>
        <v/>
      </c>
      <c r="H212" s="144" t="str">
        <f>IF(監視サービス登録書!B212="","",IF(LEFT(監視サービス登録書!C$16,4)="ローカル","",IF(監視サービス登録書!C212=監視サービス登録書!C167,"！","")))</f>
        <v/>
      </c>
      <c r="I212" s="138" t="str">
        <f>IF(監視サービス登録書!B212="","",IF(監視サービス登録書!C217&lt;&gt;"","",IF(監視サービス登録書!C212=COUNTA(監視サービス登録書!C$73,監視サービス登録書!C$76,監視サービス登録書!C$79,監視サービス登録書!C$82,監視サービス登録書!C$85,監視サービス登録書!C$88,監視サービス登録書!C$91,監視サービス登録書!C$94),"","！")))</f>
        <v/>
      </c>
    </row>
    <row r="213" spans="1:9" ht="13.5" customHeight="1">
      <c r="A213" s="87" t="s">
        <v>335</v>
      </c>
      <c r="B213" s="88" t="s">
        <v>621</v>
      </c>
      <c r="C213" s="260">
        <f>監視サービス登録書!C213</f>
        <v>0</v>
      </c>
      <c r="D213" s="119">
        <v>16</v>
      </c>
      <c r="E213" s="133" t="str">
        <f>IF(監視サービス登録書!B213="","",IF(監視サービス登録書!C$123&lt;D213,"",IF(監視サービス登録書!C$131="有り","必須","")))</f>
        <v/>
      </c>
      <c r="F213" s="86" t="str">
        <f t="shared" si="8"/>
        <v/>
      </c>
      <c r="G213" s="141"/>
      <c r="H213" s="144"/>
      <c r="I213" s="138"/>
    </row>
    <row r="214" spans="1:9" ht="13.5" customHeight="1">
      <c r="A214" s="87" t="s">
        <v>336</v>
      </c>
      <c r="B214" s="88" t="s">
        <v>622</v>
      </c>
      <c r="C214" s="260">
        <f>監視サービス登録書!C214</f>
        <v>0</v>
      </c>
      <c r="D214" s="119">
        <v>17</v>
      </c>
      <c r="E214" s="133" t="str">
        <f>IF(監視サービス登録書!C$123&gt;=D214,"必須","")</f>
        <v/>
      </c>
      <c r="F214" s="86" t="str">
        <f t="shared" si="8"/>
        <v/>
      </c>
      <c r="G214" s="141"/>
      <c r="H214" s="144"/>
      <c r="I214" s="138"/>
    </row>
    <row r="215" spans="1:9">
      <c r="A215" s="87" t="s">
        <v>337</v>
      </c>
      <c r="B215" s="88" t="s">
        <v>623</v>
      </c>
      <c r="C215" s="260">
        <f>監視サービス登録書!C215</f>
        <v>0</v>
      </c>
      <c r="D215" s="119">
        <v>17</v>
      </c>
      <c r="E215" s="133" t="s">
        <v>944</v>
      </c>
      <c r="F215" s="86" t="str">
        <f t="shared" si="8"/>
        <v/>
      </c>
      <c r="G215" s="141"/>
      <c r="H215" s="144"/>
      <c r="I215" s="138"/>
    </row>
    <row r="216" spans="1:9" ht="13.5" customHeight="1">
      <c r="A216" s="87" t="s">
        <v>338</v>
      </c>
      <c r="B216" s="88" t="s">
        <v>917</v>
      </c>
      <c r="C216" s="260">
        <f>監視サービス登録書!D216</f>
        <v>0</v>
      </c>
      <c r="D216" s="119">
        <v>17</v>
      </c>
      <c r="E216" s="133" t="str">
        <f>IF(RIGHT(監視サービス登録書!C$16,4)="プラン）","必須","必須／任意")</f>
        <v>必須／任意</v>
      </c>
      <c r="F216" s="86" t="str">
        <f t="shared" si="8"/>
        <v/>
      </c>
      <c r="G216" s="141"/>
      <c r="H216" s="144"/>
      <c r="I216" s="138"/>
    </row>
    <row r="217" spans="1:9" ht="13.5" customHeight="1">
      <c r="A217" s="87" t="s">
        <v>339</v>
      </c>
      <c r="B217" s="88" t="s">
        <v>624</v>
      </c>
      <c r="C217" s="260">
        <f>監視サービス登録書!C217</f>
        <v>0</v>
      </c>
      <c r="D217" s="119">
        <v>17</v>
      </c>
      <c r="E217" s="133" t="str">
        <f>IF(監視サービス登録書!C$123&lt;D217,"","必須")</f>
        <v/>
      </c>
      <c r="F217" s="86" t="str">
        <f t="shared" si="8"/>
        <v/>
      </c>
      <c r="G217" s="141" t="str">
        <f>IF(監視サービス登録書!B217="","",IF(監視サービス登録書!C217&gt;(監視サービス登録書!C212)+1,"！",IF(監視サービス登録書!C222="","",IF(監視サービス登録書!C217&lt;=監視サービス登録書!C222,"","！"))))</f>
        <v/>
      </c>
      <c r="H217" s="144" t="str">
        <f>IF(監視サービス登録書!B217="","",IF(LEFT(監視サービス登録書!C$16,4)="ローカル","",IF(監視サービス登録書!C217=監視サービス登録書!C172,"！","")))</f>
        <v/>
      </c>
      <c r="I217" s="138" t="str">
        <f>IF(監視サービス登録書!B217="","",IF(監視サービス登録書!C222&lt;&gt;"","",IF(監視サービス登録書!C217=COUNTA(監視サービス登録書!C$73,監視サービス登録書!C$76,監視サービス登録書!C$79,監視サービス登録書!C$82,監視サービス登録書!C$85,監視サービス登録書!C$88,監視サービス登録書!C$91,監視サービス登録書!C$94),"","！")))</f>
        <v/>
      </c>
    </row>
    <row r="218" spans="1:9" ht="13.5" customHeight="1">
      <c r="A218" s="87" t="s">
        <v>340</v>
      </c>
      <c r="B218" s="88" t="s">
        <v>625</v>
      </c>
      <c r="C218" s="260">
        <f>監視サービス登録書!C218</f>
        <v>0</v>
      </c>
      <c r="D218" s="119">
        <v>17</v>
      </c>
      <c r="E218" s="133" t="str">
        <f>IF(監視サービス登録書!B218="","",IF(監視サービス登録書!C$123&lt;D218,"",IF(監視サービス登録書!C$131="有り","必須","")))</f>
        <v/>
      </c>
      <c r="F218" s="86" t="str">
        <f t="shared" si="8"/>
        <v/>
      </c>
      <c r="G218" s="141"/>
      <c r="H218" s="144"/>
      <c r="I218" s="138"/>
    </row>
    <row r="219" spans="1:9" ht="13.5" customHeight="1">
      <c r="A219" s="87" t="s">
        <v>341</v>
      </c>
      <c r="B219" s="88" t="s">
        <v>626</v>
      </c>
      <c r="C219" s="260">
        <f>監視サービス登録書!C219</f>
        <v>0</v>
      </c>
      <c r="D219" s="119">
        <v>18</v>
      </c>
      <c r="E219" s="133" t="str">
        <f>IF(監視サービス登録書!C$123&gt;=D219,"必須","")</f>
        <v/>
      </c>
      <c r="F219" s="86" t="str">
        <f t="shared" si="8"/>
        <v/>
      </c>
      <c r="G219" s="141"/>
      <c r="H219" s="144"/>
      <c r="I219" s="138"/>
    </row>
    <row r="220" spans="1:9">
      <c r="A220" s="87" t="s">
        <v>342</v>
      </c>
      <c r="B220" s="88" t="s">
        <v>627</v>
      </c>
      <c r="C220" s="260">
        <f>監視サービス登録書!C220</f>
        <v>0</v>
      </c>
      <c r="D220" s="119">
        <v>18</v>
      </c>
      <c r="E220" s="133" t="s">
        <v>944</v>
      </c>
      <c r="F220" s="86" t="str">
        <f t="shared" si="8"/>
        <v/>
      </c>
      <c r="G220" s="141"/>
      <c r="H220" s="144"/>
      <c r="I220" s="138"/>
    </row>
    <row r="221" spans="1:9" ht="13.5" customHeight="1">
      <c r="A221" s="87" t="s">
        <v>343</v>
      </c>
      <c r="B221" s="88" t="s">
        <v>918</v>
      </c>
      <c r="C221" s="260">
        <f>監視サービス登録書!D221</f>
        <v>0</v>
      </c>
      <c r="D221" s="119">
        <v>18</v>
      </c>
      <c r="E221" s="133" t="str">
        <f>IF(RIGHT(監視サービス登録書!C$16,4)="プラン）","必須","必須／任意")</f>
        <v>必須／任意</v>
      </c>
      <c r="F221" s="86" t="str">
        <f t="shared" si="8"/>
        <v/>
      </c>
      <c r="G221" s="141"/>
      <c r="H221" s="144"/>
      <c r="I221" s="138"/>
    </row>
    <row r="222" spans="1:9" ht="13.5" customHeight="1">
      <c r="A222" s="87" t="s">
        <v>344</v>
      </c>
      <c r="B222" s="88" t="s">
        <v>628</v>
      </c>
      <c r="C222" s="260">
        <f>監視サービス登録書!C222</f>
        <v>0</v>
      </c>
      <c r="D222" s="119">
        <v>18</v>
      </c>
      <c r="E222" s="133" t="str">
        <f>IF(監視サービス登録書!C$123&lt;D222,"","必須")</f>
        <v/>
      </c>
      <c r="F222" s="86" t="str">
        <f t="shared" si="8"/>
        <v/>
      </c>
      <c r="G222" s="141" t="str">
        <f>IF(監視サービス登録書!B222="","",IF(監視サービス登録書!C222&gt;(監視サービス登録書!C217)+1,"！",IF(監視サービス登録書!C227="","",IF(監視サービス登録書!C222&lt;=監視サービス登録書!C227,"","！"))))</f>
        <v/>
      </c>
      <c r="H222" s="144" t="str">
        <f>IF(監視サービス登録書!B222="","",IF(LEFT(監視サービス登録書!C$16,4)="ローカル","",IF(監視サービス登録書!C222=監視サービス登録書!C177,"！","")))</f>
        <v/>
      </c>
      <c r="I222" s="138" t="str">
        <f>IF(監視サービス登録書!B222="","",IF(監視サービス登録書!C227&lt;&gt;"","",IF(監視サービス登録書!C222=COUNTA(監視サービス登録書!C$73,監視サービス登録書!C$76,監視サービス登録書!C$79,監視サービス登録書!C$82,監視サービス登録書!C$85,監視サービス登録書!C$88,監視サービス登録書!C$91,監視サービス登録書!C$94),"","！")))</f>
        <v/>
      </c>
    </row>
    <row r="223" spans="1:9" ht="13.5" customHeight="1">
      <c r="A223" s="87" t="s">
        <v>345</v>
      </c>
      <c r="B223" s="88" t="s">
        <v>629</v>
      </c>
      <c r="C223" s="260">
        <f>監視サービス登録書!C223</f>
        <v>0</v>
      </c>
      <c r="D223" s="119">
        <v>18</v>
      </c>
      <c r="E223" s="133" t="str">
        <f>IF(監視サービス登録書!B223="","",IF(監視サービス登録書!C$123&lt;D223,"",IF(監視サービス登録書!C$131="有り","必須","")))</f>
        <v/>
      </c>
      <c r="F223" s="86" t="str">
        <f t="shared" si="8"/>
        <v/>
      </c>
      <c r="G223" s="141"/>
      <c r="H223" s="144"/>
      <c r="I223" s="138"/>
    </row>
    <row r="224" spans="1:9" ht="13.5" customHeight="1">
      <c r="A224" s="87" t="s">
        <v>346</v>
      </c>
      <c r="B224" s="88" t="s">
        <v>630</v>
      </c>
      <c r="C224" s="260">
        <f>監視サービス登録書!C224</f>
        <v>0</v>
      </c>
      <c r="D224" s="119">
        <v>19</v>
      </c>
      <c r="E224" s="133" t="str">
        <f>IF(監視サービス登録書!C$123&gt;=D224,"必須","")</f>
        <v/>
      </c>
      <c r="F224" s="86" t="str">
        <f t="shared" si="8"/>
        <v/>
      </c>
      <c r="G224" s="141"/>
      <c r="H224" s="144"/>
      <c r="I224" s="138"/>
    </row>
    <row r="225" spans="1:9">
      <c r="A225" s="87" t="s">
        <v>347</v>
      </c>
      <c r="B225" s="88" t="s">
        <v>631</v>
      </c>
      <c r="C225" s="260">
        <f>監視サービス登録書!C225</f>
        <v>0</v>
      </c>
      <c r="D225" s="119">
        <v>19</v>
      </c>
      <c r="E225" s="133" t="s">
        <v>944</v>
      </c>
      <c r="F225" s="86" t="str">
        <f t="shared" si="8"/>
        <v/>
      </c>
      <c r="G225" s="141"/>
      <c r="H225" s="144"/>
      <c r="I225" s="138"/>
    </row>
    <row r="226" spans="1:9" ht="13.5" customHeight="1">
      <c r="A226" s="87" t="s">
        <v>348</v>
      </c>
      <c r="B226" s="88" t="s">
        <v>919</v>
      </c>
      <c r="C226" s="260">
        <f>監視サービス登録書!D226</f>
        <v>0</v>
      </c>
      <c r="D226" s="119">
        <v>19</v>
      </c>
      <c r="E226" s="133" t="str">
        <f>IF(RIGHT(監視サービス登録書!C$16,4)="プラン）","必須","必須／任意")</f>
        <v>必須／任意</v>
      </c>
      <c r="F226" s="86" t="str">
        <f t="shared" si="8"/>
        <v/>
      </c>
      <c r="G226" s="141"/>
      <c r="H226" s="144"/>
      <c r="I226" s="138"/>
    </row>
    <row r="227" spans="1:9" ht="13.5" customHeight="1">
      <c r="A227" s="87" t="s">
        <v>349</v>
      </c>
      <c r="B227" s="88" t="s">
        <v>632</v>
      </c>
      <c r="C227" s="260">
        <f>監視サービス登録書!C227</f>
        <v>0</v>
      </c>
      <c r="D227" s="119">
        <v>19</v>
      </c>
      <c r="E227" s="133" t="str">
        <f>IF(監視サービス登録書!C$123&lt;D227,"","必須")</f>
        <v/>
      </c>
      <c r="F227" s="86" t="str">
        <f t="shared" si="8"/>
        <v/>
      </c>
      <c r="G227" s="141" t="str">
        <f>IF(監視サービス登録書!B227="","",IF(監視サービス登録書!C227&gt;(監視サービス登録書!C222)+1,"！",IF(監視サービス登録書!C232="","",IF(監視サービス登録書!C227&lt;=監視サービス登録書!C232,"","！"))))</f>
        <v/>
      </c>
      <c r="H227" s="144" t="str">
        <f>IF(監視サービス登録書!B227="","",IF(LEFT(監視サービス登録書!C$16,4)="ローカル","",IF(監視サービス登録書!C227=監視サービス登録書!C182,"！","")))</f>
        <v/>
      </c>
      <c r="I227" s="138" t="str">
        <f>IF(監視サービス登録書!B227="","",IF(監視サービス登録書!C232&lt;&gt;"","",IF(監視サービス登録書!C227=COUNTA(監視サービス登録書!C$73,監視サービス登録書!C$76,監視サービス登録書!C$79,監視サービス登録書!C$82,監視サービス登録書!C$85,監視サービス登録書!C$88,監視サービス登録書!C$91,監視サービス登録書!C$94),"","！")))</f>
        <v/>
      </c>
    </row>
    <row r="228" spans="1:9" ht="13.5" customHeight="1">
      <c r="A228" s="87" t="s">
        <v>350</v>
      </c>
      <c r="B228" s="88" t="s">
        <v>633</v>
      </c>
      <c r="C228" s="260">
        <f>監視サービス登録書!C228</f>
        <v>0</v>
      </c>
      <c r="D228" s="119">
        <v>19</v>
      </c>
      <c r="E228" s="133" t="str">
        <f>IF(監視サービス登録書!B228="","",IF(監視サービス登録書!C$123&lt;D228,"",IF(監視サービス登録書!C$131="有り","必須","")))</f>
        <v/>
      </c>
      <c r="F228" s="86" t="str">
        <f t="shared" si="8"/>
        <v/>
      </c>
      <c r="G228" s="141"/>
      <c r="H228" s="144"/>
      <c r="I228" s="138"/>
    </row>
    <row r="229" spans="1:9" ht="13.5" customHeight="1">
      <c r="A229" s="87" t="s">
        <v>351</v>
      </c>
      <c r="B229" s="88" t="s">
        <v>634</v>
      </c>
      <c r="C229" s="260">
        <f>監視サービス登録書!C229</f>
        <v>0</v>
      </c>
      <c r="D229" s="119">
        <v>20</v>
      </c>
      <c r="E229" s="133" t="str">
        <f>IF(監視サービス登録書!C$123&gt;=D229,"必須","")</f>
        <v/>
      </c>
      <c r="F229" s="86" t="str">
        <f t="shared" si="8"/>
        <v/>
      </c>
      <c r="G229" s="141"/>
      <c r="H229" s="144"/>
      <c r="I229" s="138"/>
    </row>
    <row r="230" spans="1:9">
      <c r="A230" s="87" t="s">
        <v>352</v>
      </c>
      <c r="B230" s="88" t="s">
        <v>635</v>
      </c>
      <c r="C230" s="260">
        <f>監視サービス登録書!C230</f>
        <v>0</v>
      </c>
      <c r="D230" s="119">
        <v>20</v>
      </c>
      <c r="E230" s="133" t="s">
        <v>944</v>
      </c>
      <c r="F230" s="86" t="str">
        <f t="shared" si="8"/>
        <v/>
      </c>
      <c r="G230" s="141"/>
      <c r="H230" s="144"/>
      <c r="I230" s="138"/>
    </row>
    <row r="231" spans="1:9" ht="13.5" customHeight="1">
      <c r="A231" s="87" t="s">
        <v>353</v>
      </c>
      <c r="B231" s="88" t="s">
        <v>920</v>
      </c>
      <c r="C231" s="260">
        <f>監視サービス登録書!D231</f>
        <v>0</v>
      </c>
      <c r="D231" s="119">
        <v>20</v>
      </c>
      <c r="E231" s="133" t="str">
        <f>IF(RIGHT(監視サービス登録書!C$16,4)="プラン）","必須","必須／任意")</f>
        <v>必須／任意</v>
      </c>
      <c r="F231" s="86" t="str">
        <f t="shared" si="8"/>
        <v/>
      </c>
      <c r="G231" s="141"/>
      <c r="H231" s="144"/>
      <c r="I231" s="138"/>
    </row>
    <row r="232" spans="1:9" ht="13.5" customHeight="1">
      <c r="A232" s="87" t="s">
        <v>354</v>
      </c>
      <c r="B232" s="88" t="s">
        <v>636</v>
      </c>
      <c r="C232" s="260">
        <f>監視サービス登録書!C232</f>
        <v>0</v>
      </c>
      <c r="D232" s="119">
        <v>20</v>
      </c>
      <c r="E232" s="133" t="str">
        <f>IF(監視サービス登録書!C$123&lt;D232,"","必須")</f>
        <v/>
      </c>
      <c r="F232" s="86" t="str">
        <f t="shared" si="8"/>
        <v/>
      </c>
      <c r="G232" s="141" t="str">
        <f>IF(監視サービス登録書!B232="","",IF(監視サービス登録書!C232&gt;(監視サービス登録書!C227)+1,"！",IF(監視サービス登録書!C237="","",IF(監視サービス登録書!C232&lt;=監視サービス登録書!C237,"","！"))))</f>
        <v/>
      </c>
      <c r="H232" s="144" t="str">
        <f>IF(監視サービス登録書!B232="","",IF(LEFT(監視サービス登録書!C$16,4)="ローカル","",IF(監視サービス登録書!C232=監視サービス登録書!C187,"！","")))</f>
        <v/>
      </c>
      <c r="I232" s="138" t="str">
        <f>IF(監視サービス登録書!B232="","",IF(監視サービス登録書!C237&lt;&gt;"","",IF(監視サービス登録書!C232=COUNTA(監視サービス登録書!C$73,監視サービス登録書!C$76,監視サービス登録書!C$79,監視サービス登録書!C$82,監視サービス登録書!C$85,監視サービス登録書!C$88,監視サービス登録書!C$91,監視サービス登録書!C$94),"","！")))</f>
        <v/>
      </c>
    </row>
    <row r="233" spans="1:9" ht="13.5" customHeight="1">
      <c r="A233" s="87" t="s">
        <v>355</v>
      </c>
      <c r="B233" s="88" t="s">
        <v>637</v>
      </c>
      <c r="C233" s="260">
        <f>監視サービス登録書!C233</f>
        <v>0</v>
      </c>
      <c r="D233" s="119">
        <v>20</v>
      </c>
      <c r="E233" s="133" t="str">
        <f>IF(監視サービス登録書!B233="","",IF(監視サービス登録書!C$123&lt;D233,"",IF(監視サービス登録書!C$131="有り","必須","")))</f>
        <v/>
      </c>
      <c r="F233" s="86" t="str">
        <f t="shared" si="8"/>
        <v/>
      </c>
      <c r="G233" s="141"/>
      <c r="H233" s="144"/>
      <c r="I233" s="138"/>
    </row>
    <row r="234" spans="1:9" ht="13.5" customHeight="1">
      <c r="A234" s="87" t="s">
        <v>356</v>
      </c>
      <c r="B234" s="88" t="s">
        <v>638</v>
      </c>
      <c r="C234" s="260">
        <f>監視サービス登録書!C234</f>
        <v>0</v>
      </c>
      <c r="D234" s="119">
        <v>21</v>
      </c>
      <c r="E234" s="133" t="str">
        <f>IF(監視サービス登録書!C$123&gt;=D234,"必須","")</f>
        <v/>
      </c>
      <c r="F234" s="86" t="str">
        <f t="shared" si="8"/>
        <v/>
      </c>
      <c r="G234" s="141"/>
      <c r="H234" s="144"/>
      <c r="I234" s="138"/>
    </row>
    <row r="235" spans="1:9">
      <c r="A235" s="87" t="s">
        <v>357</v>
      </c>
      <c r="B235" s="88" t="s">
        <v>639</v>
      </c>
      <c r="C235" s="260">
        <f>監視サービス登録書!C235</f>
        <v>0</v>
      </c>
      <c r="D235" s="119">
        <v>21</v>
      </c>
      <c r="E235" s="133" t="s">
        <v>944</v>
      </c>
      <c r="F235" s="86" t="str">
        <f t="shared" si="8"/>
        <v/>
      </c>
      <c r="G235" s="141"/>
      <c r="H235" s="144"/>
      <c r="I235" s="138"/>
    </row>
    <row r="236" spans="1:9" ht="13.5" customHeight="1">
      <c r="A236" s="87" t="s">
        <v>358</v>
      </c>
      <c r="B236" s="88" t="s">
        <v>921</v>
      </c>
      <c r="C236" s="260">
        <f>監視サービス登録書!D236</f>
        <v>0</v>
      </c>
      <c r="D236" s="119">
        <v>21</v>
      </c>
      <c r="E236" s="133" t="str">
        <f>IF(RIGHT(監視サービス登録書!C$16,4)="プラン）","必須","必須／任意")</f>
        <v>必須／任意</v>
      </c>
      <c r="F236" s="86" t="str">
        <f t="shared" si="8"/>
        <v/>
      </c>
      <c r="G236" s="141"/>
      <c r="H236" s="144"/>
      <c r="I236" s="138"/>
    </row>
    <row r="237" spans="1:9" ht="13.5" customHeight="1">
      <c r="A237" s="87" t="s">
        <v>359</v>
      </c>
      <c r="B237" s="88" t="s">
        <v>640</v>
      </c>
      <c r="C237" s="260">
        <f>監視サービス登録書!C237</f>
        <v>0</v>
      </c>
      <c r="D237" s="119">
        <v>21</v>
      </c>
      <c r="E237" s="133" t="str">
        <f>IF(監視サービス登録書!C$123&lt;D237,"","必須")</f>
        <v/>
      </c>
      <c r="F237" s="86" t="str">
        <f t="shared" si="8"/>
        <v/>
      </c>
      <c r="G237" s="141" t="str">
        <f>IF(監視サービス登録書!B237="","",IF(監視サービス登録書!C237&gt;(監視サービス登録書!C232)+1,"！",IF(監視サービス登録書!C242="","",IF(監視サービス登録書!C237&lt;=監視サービス登録書!C242,"","！"))))</f>
        <v/>
      </c>
      <c r="H237" s="144" t="str">
        <f>IF(監視サービス登録書!B237="","",IF(LEFT(監視サービス登録書!C$16,4)="ローカル","",IF(監視サービス登録書!C237=監視サービス登録書!C192,"！","")))</f>
        <v/>
      </c>
      <c r="I237" s="138" t="str">
        <f>IF(監視サービス登録書!B237="","",IF(監視サービス登録書!C242&lt;&gt;"","",IF(監視サービス登録書!C237=COUNTA(監視サービス登録書!C$73,監視サービス登録書!C$76,監視サービス登録書!C$79,監視サービス登録書!C$82,監視サービス登録書!C$85,監視サービス登録書!C$88,監視サービス登録書!C$91,監視サービス登録書!C$94),"","！")))</f>
        <v/>
      </c>
    </row>
    <row r="238" spans="1:9" ht="13.5" customHeight="1">
      <c r="A238" s="87" t="s">
        <v>360</v>
      </c>
      <c r="B238" s="88" t="s">
        <v>641</v>
      </c>
      <c r="C238" s="260">
        <f>監視サービス登録書!C238</f>
        <v>0</v>
      </c>
      <c r="D238" s="119">
        <v>21</v>
      </c>
      <c r="E238" s="133" t="str">
        <f>IF(監視サービス登録書!B238="","",IF(監視サービス登録書!C$123&lt;D238,"",IF(監視サービス登録書!C$131="有り","必須","")))</f>
        <v/>
      </c>
      <c r="F238" s="86" t="str">
        <f t="shared" si="8"/>
        <v/>
      </c>
      <c r="G238" s="141"/>
      <c r="H238" s="144"/>
      <c r="I238" s="138"/>
    </row>
    <row r="239" spans="1:9" ht="13.5" customHeight="1">
      <c r="A239" s="87" t="s">
        <v>361</v>
      </c>
      <c r="B239" s="88" t="s">
        <v>642</v>
      </c>
      <c r="C239" s="260">
        <f>監視サービス登録書!C239</f>
        <v>0</v>
      </c>
      <c r="D239" s="119">
        <v>22</v>
      </c>
      <c r="E239" s="133" t="str">
        <f>IF(監視サービス登録書!C$123&gt;=D239,"必須","")</f>
        <v/>
      </c>
      <c r="F239" s="86" t="str">
        <f t="shared" si="8"/>
        <v/>
      </c>
      <c r="G239" s="141"/>
      <c r="H239" s="144"/>
      <c r="I239" s="138"/>
    </row>
    <row r="240" spans="1:9">
      <c r="A240" s="87" t="s">
        <v>362</v>
      </c>
      <c r="B240" s="88" t="s">
        <v>643</v>
      </c>
      <c r="C240" s="260">
        <f>監視サービス登録書!C240</f>
        <v>0</v>
      </c>
      <c r="D240" s="119">
        <v>22</v>
      </c>
      <c r="E240" s="133" t="s">
        <v>944</v>
      </c>
      <c r="F240" s="86" t="str">
        <f t="shared" si="8"/>
        <v/>
      </c>
      <c r="G240" s="141"/>
      <c r="H240" s="144"/>
      <c r="I240" s="138"/>
    </row>
    <row r="241" spans="1:9" ht="13.5" customHeight="1">
      <c r="A241" s="87" t="s">
        <v>363</v>
      </c>
      <c r="B241" s="88" t="s">
        <v>922</v>
      </c>
      <c r="C241" s="260">
        <f>監視サービス登録書!D241</f>
        <v>0</v>
      </c>
      <c r="D241" s="119">
        <v>22</v>
      </c>
      <c r="E241" s="133" t="str">
        <f>IF(RIGHT(監視サービス登録書!C$16,4)="プラン）","必須","必須／任意")</f>
        <v>必須／任意</v>
      </c>
      <c r="F241" s="86" t="str">
        <f t="shared" si="8"/>
        <v/>
      </c>
      <c r="G241" s="141"/>
      <c r="H241" s="144"/>
      <c r="I241" s="138"/>
    </row>
    <row r="242" spans="1:9" ht="13.5" customHeight="1">
      <c r="A242" s="87" t="s">
        <v>364</v>
      </c>
      <c r="B242" s="88" t="s">
        <v>644</v>
      </c>
      <c r="C242" s="260">
        <f>監視サービス登録書!C242</f>
        <v>0</v>
      </c>
      <c r="D242" s="119">
        <v>22</v>
      </c>
      <c r="E242" s="133" t="str">
        <f>IF(監視サービス登録書!C$123&lt;D242,"","必須")</f>
        <v/>
      </c>
      <c r="F242" s="86" t="str">
        <f t="shared" si="8"/>
        <v/>
      </c>
      <c r="G242" s="141" t="str">
        <f>IF(監視サービス登録書!B242="","",IF(監視サービス登録書!C242&gt;(監視サービス登録書!C237)+1,"！",IF(監視サービス登録書!C247="","",IF(監視サービス登録書!C242&lt;=監視サービス登録書!C247,"","！"))))</f>
        <v/>
      </c>
      <c r="H242" s="144" t="str">
        <f>IF(監視サービス登録書!B242="","",IF(LEFT(監視サービス登録書!C$16,4)="ローカル","",IF(監視サービス登録書!C242=監視サービス登録書!C197,"！","")))</f>
        <v/>
      </c>
      <c r="I242" s="138" t="str">
        <f>IF(監視サービス登録書!B242="","",IF(監視サービス登録書!C247&lt;&gt;"","",IF(監視サービス登録書!C242=COUNTA(監視サービス登録書!C$73,監視サービス登録書!C$76,監視サービス登録書!C$79,監視サービス登録書!C$82,監視サービス登録書!C$85,監視サービス登録書!C$88,監視サービス登録書!C$91,監視サービス登録書!C$94),"","！")))</f>
        <v/>
      </c>
    </row>
    <row r="243" spans="1:9" ht="13.5" customHeight="1">
      <c r="A243" s="87" t="s">
        <v>365</v>
      </c>
      <c r="B243" s="88" t="s">
        <v>645</v>
      </c>
      <c r="C243" s="260">
        <f>監視サービス登録書!C243</f>
        <v>0</v>
      </c>
      <c r="D243" s="119">
        <v>22</v>
      </c>
      <c r="E243" s="133" t="str">
        <f>IF(監視サービス登録書!B243="","",IF(監視サービス登録書!C$123&lt;D243,"",IF(監視サービス登録書!C$131="有り","必須","")))</f>
        <v/>
      </c>
      <c r="F243" s="86" t="str">
        <f t="shared" si="8"/>
        <v/>
      </c>
      <c r="G243" s="141"/>
      <c r="H243" s="144"/>
      <c r="I243" s="138"/>
    </row>
    <row r="244" spans="1:9" ht="13.5" customHeight="1">
      <c r="A244" s="87" t="s">
        <v>366</v>
      </c>
      <c r="B244" s="88" t="s">
        <v>646</v>
      </c>
      <c r="C244" s="260">
        <f>監視サービス登録書!C244</f>
        <v>0</v>
      </c>
      <c r="D244" s="119">
        <v>23</v>
      </c>
      <c r="E244" s="133" t="str">
        <f>IF(監視サービス登録書!C$123&gt;=D244,"必須","")</f>
        <v/>
      </c>
      <c r="F244" s="86" t="str">
        <f t="shared" si="8"/>
        <v/>
      </c>
      <c r="G244" s="141"/>
      <c r="H244" s="144"/>
      <c r="I244" s="138"/>
    </row>
    <row r="245" spans="1:9">
      <c r="A245" s="87" t="s">
        <v>367</v>
      </c>
      <c r="B245" s="88" t="s">
        <v>647</v>
      </c>
      <c r="C245" s="260">
        <f>監視サービス登録書!C245</f>
        <v>0</v>
      </c>
      <c r="D245" s="119">
        <v>23</v>
      </c>
      <c r="E245" s="133" t="s">
        <v>944</v>
      </c>
      <c r="F245" s="86" t="str">
        <f t="shared" si="8"/>
        <v/>
      </c>
      <c r="G245" s="141"/>
      <c r="H245" s="144"/>
      <c r="I245" s="138"/>
    </row>
    <row r="246" spans="1:9" ht="13.5" customHeight="1">
      <c r="A246" s="87" t="s">
        <v>368</v>
      </c>
      <c r="B246" s="88" t="s">
        <v>923</v>
      </c>
      <c r="C246" s="260">
        <f>監視サービス登録書!D246</f>
        <v>0</v>
      </c>
      <c r="D246" s="119">
        <v>23</v>
      </c>
      <c r="E246" s="133" t="str">
        <f>IF(RIGHT(監視サービス登録書!C$16,4)="プラン）","必須","必須／任意")</f>
        <v>必須／任意</v>
      </c>
      <c r="F246" s="86" t="str">
        <f t="shared" ref="F246:F283" si="9">IF(G246&lt;&gt;"",G246,IF(H246&lt;&gt;"",H246,IF(I246&lt;&gt;"",I246,"")))</f>
        <v/>
      </c>
      <c r="G246" s="141"/>
      <c r="H246" s="144"/>
      <c r="I246" s="138"/>
    </row>
    <row r="247" spans="1:9" ht="13.5" customHeight="1">
      <c r="A247" s="87" t="s">
        <v>369</v>
      </c>
      <c r="B247" s="88" t="s">
        <v>648</v>
      </c>
      <c r="C247" s="260">
        <f>監視サービス登録書!C247</f>
        <v>0</v>
      </c>
      <c r="D247" s="119">
        <v>23</v>
      </c>
      <c r="E247" s="133" t="str">
        <f>IF(監視サービス登録書!C$123&lt;D247,"","必須")</f>
        <v/>
      </c>
      <c r="F247" s="86" t="str">
        <f t="shared" si="9"/>
        <v/>
      </c>
      <c r="G247" s="141" t="str">
        <f>IF(監視サービス登録書!B247="","",IF(監視サービス登録書!C247&gt;(監視サービス登録書!C242)+1,"！",IF(監視サービス登録書!C252="","",IF(監視サービス登録書!C247&lt;=監視サービス登録書!C252,"","！"))))</f>
        <v/>
      </c>
      <c r="H247" s="144" t="str">
        <f>IF(監視サービス登録書!B247="","",IF(LEFT(監視サービス登録書!C$16,4)="ローカル","",IF(監視サービス登録書!C247=監視サービス登録書!C202,"！","")))</f>
        <v/>
      </c>
      <c r="I247" s="138" t="str">
        <f>IF(監視サービス登録書!B247="","",IF(監視サービス登録書!C252&lt;&gt;"","",IF(監視サービス登録書!C247=COUNTA(監視サービス登録書!C$73,監視サービス登録書!C$76,監視サービス登録書!C$79,監視サービス登録書!C$82,監視サービス登録書!C$85,監視サービス登録書!C$88,監視サービス登録書!C$91,監視サービス登録書!C$94),"","！")))</f>
        <v/>
      </c>
    </row>
    <row r="248" spans="1:9" ht="13.5" customHeight="1">
      <c r="A248" s="87" t="s">
        <v>370</v>
      </c>
      <c r="B248" s="88" t="s">
        <v>649</v>
      </c>
      <c r="C248" s="260">
        <f>監視サービス登録書!C248</f>
        <v>0</v>
      </c>
      <c r="D248" s="119">
        <v>23</v>
      </c>
      <c r="E248" s="133" t="str">
        <f>IF(監視サービス登録書!B248="","",IF(監視サービス登録書!C$123&lt;D248,"",IF(監視サービス登録書!C$131="有り","必須","")))</f>
        <v/>
      </c>
      <c r="F248" s="86" t="str">
        <f t="shared" si="9"/>
        <v/>
      </c>
      <c r="G248" s="141"/>
      <c r="H248" s="144"/>
      <c r="I248" s="138"/>
    </row>
    <row r="249" spans="1:9" ht="13.5" customHeight="1">
      <c r="A249" s="87" t="s">
        <v>371</v>
      </c>
      <c r="B249" s="88" t="s">
        <v>650</v>
      </c>
      <c r="C249" s="260">
        <f>監視サービス登録書!C249</f>
        <v>0</v>
      </c>
      <c r="D249" s="119">
        <v>24</v>
      </c>
      <c r="E249" s="133" t="str">
        <f>IF(監視サービス登録書!C$123&gt;=D249,"必須","")</f>
        <v/>
      </c>
      <c r="F249" s="86" t="str">
        <f t="shared" si="9"/>
        <v/>
      </c>
      <c r="G249" s="141"/>
      <c r="H249" s="144"/>
      <c r="I249" s="138"/>
    </row>
    <row r="250" spans="1:9">
      <c r="A250" s="87" t="s">
        <v>372</v>
      </c>
      <c r="B250" s="88" t="s">
        <v>651</v>
      </c>
      <c r="C250" s="260">
        <f>監視サービス登録書!C250</f>
        <v>0</v>
      </c>
      <c r="D250" s="119">
        <v>24</v>
      </c>
      <c r="E250" s="133" t="s">
        <v>944</v>
      </c>
      <c r="F250" s="86" t="str">
        <f t="shared" si="9"/>
        <v/>
      </c>
      <c r="G250" s="141"/>
      <c r="H250" s="144"/>
      <c r="I250" s="138"/>
    </row>
    <row r="251" spans="1:9" ht="13.5" customHeight="1">
      <c r="A251" s="87" t="s">
        <v>373</v>
      </c>
      <c r="B251" s="88" t="s">
        <v>924</v>
      </c>
      <c r="C251" s="260">
        <f>監視サービス登録書!D251</f>
        <v>0</v>
      </c>
      <c r="D251" s="119">
        <v>24</v>
      </c>
      <c r="E251" s="133" t="str">
        <f>IF(RIGHT(監視サービス登録書!C$16,4)="プラン）","必須","必須／任意")</f>
        <v>必須／任意</v>
      </c>
      <c r="F251" s="86" t="str">
        <f t="shared" si="9"/>
        <v/>
      </c>
      <c r="G251" s="141"/>
      <c r="H251" s="144"/>
      <c r="I251" s="138"/>
    </row>
    <row r="252" spans="1:9" ht="13.5" customHeight="1">
      <c r="A252" s="87" t="s">
        <v>374</v>
      </c>
      <c r="B252" s="88" t="s">
        <v>652</v>
      </c>
      <c r="C252" s="260">
        <f>監視サービス登録書!C252</f>
        <v>0</v>
      </c>
      <c r="D252" s="119">
        <v>24</v>
      </c>
      <c r="E252" s="133" t="str">
        <f>IF(監視サービス登録書!C$123&lt;D252,"","必須")</f>
        <v/>
      </c>
      <c r="F252" s="86" t="str">
        <f t="shared" si="9"/>
        <v/>
      </c>
      <c r="G252" s="141" t="str">
        <f>IF(監視サービス登録書!B252="","",IF(監視サービス登録書!C252&gt;(監視サービス登録書!C247)+1,"！",IF(監視サービス登録書!C257="","",IF(監視サービス登録書!C252&lt;=監視サービス登録書!C257,"","！"))))</f>
        <v/>
      </c>
      <c r="H252" s="144" t="str">
        <f>IF(監視サービス登録書!B252="","",IF(LEFT(監視サービス登録書!C$16,4)="ローカル","",IF(監視サービス登録書!C252=監視サービス登録書!C207,"！","")))</f>
        <v/>
      </c>
      <c r="I252" s="138" t="str">
        <f>IF(監視サービス登録書!B252="","",IF(監視サービス登録書!C257&lt;&gt;"","",IF(監視サービス登録書!C252=COUNTA(監視サービス登録書!C$73,監視サービス登録書!C$76,監視サービス登録書!C$79,監視サービス登録書!C$82,監視サービス登録書!C$85,監視サービス登録書!C$88,監視サービス登録書!C$91,監視サービス登録書!C$94),"","！")))</f>
        <v/>
      </c>
    </row>
    <row r="253" spans="1:9" ht="13.5" customHeight="1">
      <c r="A253" s="87" t="s">
        <v>375</v>
      </c>
      <c r="B253" s="88" t="s">
        <v>653</v>
      </c>
      <c r="C253" s="260">
        <f>監視サービス登録書!C253</f>
        <v>0</v>
      </c>
      <c r="D253" s="119">
        <v>24</v>
      </c>
      <c r="E253" s="133" t="str">
        <f>IF(監視サービス登録書!B253="","",IF(監視サービス登録書!C$123&lt;D253,"",IF(監視サービス登録書!C$131="有り","必須","")))</f>
        <v/>
      </c>
      <c r="F253" s="86" t="str">
        <f t="shared" si="9"/>
        <v/>
      </c>
      <c r="G253" s="141"/>
      <c r="H253" s="144"/>
      <c r="I253" s="138"/>
    </row>
    <row r="254" spans="1:9" ht="13.5" customHeight="1">
      <c r="A254" s="87" t="s">
        <v>376</v>
      </c>
      <c r="B254" s="88" t="s">
        <v>654</v>
      </c>
      <c r="C254" s="260">
        <f>監視サービス登録書!C254</f>
        <v>0</v>
      </c>
      <c r="D254" s="119">
        <v>25</v>
      </c>
      <c r="E254" s="133" t="str">
        <f>IF(監視サービス登録書!C$123&gt;=D254,"必須","")</f>
        <v/>
      </c>
      <c r="F254" s="86" t="str">
        <f t="shared" si="9"/>
        <v/>
      </c>
      <c r="G254" s="141"/>
      <c r="H254" s="144"/>
      <c r="I254" s="138"/>
    </row>
    <row r="255" spans="1:9">
      <c r="A255" s="87" t="s">
        <v>377</v>
      </c>
      <c r="B255" s="88" t="s">
        <v>655</v>
      </c>
      <c r="C255" s="260">
        <f>監視サービス登録書!C255</f>
        <v>0</v>
      </c>
      <c r="D255" s="119">
        <v>25</v>
      </c>
      <c r="E255" s="133" t="s">
        <v>944</v>
      </c>
      <c r="F255" s="86" t="str">
        <f t="shared" si="9"/>
        <v/>
      </c>
      <c r="G255" s="141"/>
      <c r="H255" s="144"/>
      <c r="I255" s="138"/>
    </row>
    <row r="256" spans="1:9" ht="13.5" customHeight="1">
      <c r="A256" s="87" t="s">
        <v>378</v>
      </c>
      <c r="B256" s="88" t="s">
        <v>925</v>
      </c>
      <c r="C256" s="260">
        <f>監視サービス登録書!D256</f>
        <v>0</v>
      </c>
      <c r="D256" s="119">
        <v>25</v>
      </c>
      <c r="E256" s="133" t="str">
        <f>IF(RIGHT(監視サービス登録書!C$16,4)="プラン）","必須","必須／任意")</f>
        <v>必須／任意</v>
      </c>
      <c r="F256" s="86" t="str">
        <f t="shared" si="9"/>
        <v/>
      </c>
      <c r="G256" s="141"/>
      <c r="H256" s="144"/>
      <c r="I256" s="138"/>
    </row>
    <row r="257" spans="1:9" ht="13.5" customHeight="1">
      <c r="A257" s="87" t="s">
        <v>379</v>
      </c>
      <c r="B257" s="88" t="s">
        <v>656</v>
      </c>
      <c r="C257" s="260">
        <f>監視サービス登録書!C257</f>
        <v>0</v>
      </c>
      <c r="D257" s="119">
        <v>25</v>
      </c>
      <c r="E257" s="133" t="str">
        <f>IF(監視サービス登録書!C$123&lt;D257,"","必須")</f>
        <v/>
      </c>
      <c r="F257" s="86" t="str">
        <f t="shared" si="9"/>
        <v/>
      </c>
      <c r="G257" s="141" t="str">
        <f>IF(監視サービス登録書!B257="","",IF(監視サービス登録書!C257&gt;(監視サービス登録書!C252)+1,"！",IF(監視サービス登録書!C262="","",IF(監視サービス登録書!C257&lt;=監視サービス登録書!C262,"","！"))))</f>
        <v/>
      </c>
      <c r="H257" s="144" t="str">
        <f>IF(監視サービス登録書!B257="","",IF(LEFT(監視サービス登録書!C$16,4)="ローカル","",IF(監視サービス登録書!C257=監視サービス登録書!C212,"！","")))</f>
        <v/>
      </c>
      <c r="I257" s="138" t="str">
        <f>IF(監視サービス登録書!B257="","",IF(監視サービス登録書!C262&lt;&gt;"","",IF(監視サービス登録書!C257=COUNTA(監視サービス登録書!C$73,監視サービス登録書!C$76,監視サービス登録書!C$79,監視サービス登録書!C$82,監視サービス登録書!C$85,監視サービス登録書!C$88,監視サービス登録書!C$91,監視サービス登録書!C$94),"","！")))</f>
        <v/>
      </c>
    </row>
    <row r="258" spans="1:9" ht="13.5" customHeight="1">
      <c r="A258" s="87" t="s">
        <v>380</v>
      </c>
      <c r="B258" s="88" t="s">
        <v>657</v>
      </c>
      <c r="C258" s="260">
        <f>監視サービス登録書!C258</f>
        <v>0</v>
      </c>
      <c r="D258" s="119">
        <v>25</v>
      </c>
      <c r="E258" s="133" t="str">
        <f>IF(監視サービス登録書!B258="","",IF(監視サービス登録書!C$123&lt;D258,"",IF(監視サービス登録書!C$131="有り","必須","")))</f>
        <v/>
      </c>
      <c r="F258" s="86" t="str">
        <f t="shared" si="9"/>
        <v/>
      </c>
      <c r="G258" s="141"/>
      <c r="H258" s="144"/>
      <c r="I258" s="138"/>
    </row>
    <row r="259" spans="1:9" ht="13.5" customHeight="1">
      <c r="A259" s="87" t="s">
        <v>381</v>
      </c>
      <c r="B259" s="88" t="s">
        <v>658</v>
      </c>
      <c r="C259" s="260">
        <f>監視サービス登録書!C259</f>
        <v>0</v>
      </c>
      <c r="D259" s="119">
        <v>26</v>
      </c>
      <c r="E259" s="133" t="str">
        <f>IF(監視サービス登録書!C$123&gt;=D259,"必須","")</f>
        <v/>
      </c>
      <c r="F259" s="86" t="str">
        <f t="shared" si="9"/>
        <v/>
      </c>
      <c r="G259" s="141"/>
      <c r="H259" s="144"/>
      <c r="I259" s="138"/>
    </row>
    <row r="260" spans="1:9">
      <c r="A260" s="87" t="s">
        <v>382</v>
      </c>
      <c r="B260" s="88" t="s">
        <v>659</v>
      </c>
      <c r="C260" s="260">
        <f>監視サービス登録書!C260</f>
        <v>0</v>
      </c>
      <c r="D260" s="119">
        <v>26</v>
      </c>
      <c r="E260" s="133" t="s">
        <v>944</v>
      </c>
      <c r="F260" s="86" t="str">
        <f t="shared" si="9"/>
        <v/>
      </c>
      <c r="G260" s="141"/>
      <c r="H260" s="144"/>
      <c r="I260" s="138"/>
    </row>
    <row r="261" spans="1:9" ht="13.5" customHeight="1">
      <c r="A261" s="87" t="s">
        <v>383</v>
      </c>
      <c r="B261" s="88" t="s">
        <v>926</v>
      </c>
      <c r="C261" s="260">
        <f>監視サービス登録書!D261</f>
        <v>0</v>
      </c>
      <c r="D261" s="119">
        <v>26</v>
      </c>
      <c r="E261" s="133" t="str">
        <f>IF(RIGHT(監視サービス登録書!C$16,4)="プラン）","必須","必須／任意")</f>
        <v>必須／任意</v>
      </c>
      <c r="F261" s="86" t="str">
        <f t="shared" si="9"/>
        <v/>
      </c>
      <c r="G261" s="141"/>
      <c r="H261" s="144"/>
      <c r="I261" s="138"/>
    </row>
    <row r="262" spans="1:9" ht="13.5" customHeight="1">
      <c r="A262" s="87" t="s">
        <v>384</v>
      </c>
      <c r="B262" s="88" t="s">
        <v>660</v>
      </c>
      <c r="C262" s="260">
        <f>監視サービス登録書!C262</f>
        <v>0</v>
      </c>
      <c r="D262" s="119">
        <v>26</v>
      </c>
      <c r="E262" s="133" t="str">
        <f>IF(監視サービス登録書!C$123&lt;D262,"","必須")</f>
        <v/>
      </c>
      <c r="F262" s="86" t="str">
        <f t="shared" si="9"/>
        <v/>
      </c>
      <c r="G262" s="141" t="str">
        <f>IF(監視サービス登録書!B262="","",IF(監視サービス登録書!C262&gt;(監視サービス登録書!C257)+1,"！",IF(監視サービス登録書!C267="","",IF(監視サービス登録書!C262&lt;=監視サービス登録書!C267,"","！"))))</f>
        <v/>
      </c>
      <c r="H262" s="144" t="str">
        <f>IF(監視サービス登録書!B262="","",IF(LEFT(監視サービス登録書!C$16,4)="ローカル","",IF(監視サービス登録書!C262=監視サービス登録書!C217,"！","")))</f>
        <v/>
      </c>
      <c r="I262" s="138" t="str">
        <f>IF(監視サービス登録書!B262="","",IF(監視サービス登録書!C267&lt;&gt;"","",IF(監視サービス登録書!C262=COUNTA(監視サービス登録書!C$73,監視サービス登録書!C$76,監視サービス登録書!C$79,監視サービス登録書!C$82,監視サービス登録書!C$85,監視サービス登録書!C$88,監視サービス登録書!C$91,監視サービス登録書!C$94),"","！")))</f>
        <v/>
      </c>
    </row>
    <row r="263" spans="1:9" ht="13.5" customHeight="1">
      <c r="A263" s="87" t="s">
        <v>385</v>
      </c>
      <c r="B263" s="88" t="s">
        <v>661</v>
      </c>
      <c r="C263" s="260">
        <f>監視サービス登録書!C263</f>
        <v>0</v>
      </c>
      <c r="D263" s="119">
        <v>26</v>
      </c>
      <c r="E263" s="133" t="str">
        <f>IF(監視サービス登録書!B263="","",IF(監視サービス登録書!C$123&lt;D263,"",IF(監視サービス登録書!C$131="有り","必須","")))</f>
        <v/>
      </c>
      <c r="F263" s="86" t="str">
        <f t="shared" si="9"/>
        <v/>
      </c>
      <c r="G263" s="141"/>
      <c r="H263" s="144"/>
      <c r="I263" s="138"/>
    </row>
    <row r="264" spans="1:9" ht="13.5" customHeight="1">
      <c r="A264" s="87" t="s">
        <v>386</v>
      </c>
      <c r="B264" s="88" t="s">
        <v>662</v>
      </c>
      <c r="C264" s="260">
        <f>監視サービス登録書!C264</f>
        <v>0</v>
      </c>
      <c r="D264" s="119">
        <v>27</v>
      </c>
      <c r="E264" s="133" t="str">
        <f>IF(監視サービス登録書!C$123&gt;=D264,"必須","")</f>
        <v/>
      </c>
      <c r="F264" s="86" t="str">
        <f t="shared" si="9"/>
        <v/>
      </c>
      <c r="G264" s="141"/>
      <c r="H264" s="144"/>
      <c r="I264" s="138"/>
    </row>
    <row r="265" spans="1:9">
      <c r="A265" s="87" t="s">
        <v>387</v>
      </c>
      <c r="B265" s="88" t="s">
        <v>663</v>
      </c>
      <c r="C265" s="260">
        <f>監視サービス登録書!C265</f>
        <v>0</v>
      </c>
      <c r="D265" s="119">
        <v>27</v>
      </c>
      <c r="E265" s="133" t="s">
        <v>944</v>
      </c>
      <c r="F265" s="86" t="str">
        <f t="shared" si="9"/>
        <v/>
      </c>
      <c r="G265" s="141"/>
      <c r="H265" s="144"/>
      <c r="I265" s="138"/>
    </row>
    <row r="266" spans="1:9" ht="13.5" customHeight="1">
      <c r="A266" s="87" t="s">
        <v>388</v>
      </c>
      <c r="B266" s="88" t="s">
        <v>927</v>
      </c>
      <c r="C266" s="260">
        <f>監視サービス登録書!D266</f>
        <v>0</v>
      </c>
      <c r="D266" s="119">
        <v>27</v>
      </c>
      <c r="E266" s="133" t="str">
        <f>IF(RIGHT(監視サービス登録書!C$16,4)="プラン）","必須","必須／任意")</f>
        <v>必須／任意</v>
      </c>
      <c r="F266" s="86" t="str">
        <f t="shared" si="9"/>
        <v/>
      </c>
      <c r="G266" s="141"/>
      <c r="H266" s="144"/>
      <c r="I266" s="138"/>
    </row>
    <row r="267" spans="1:9" ht="13.5" customHeight="1">
      <c r="A267" s="87" t="s">
        <v>389</v>
      </c>
      <c r="B267" s="88" t="s">
        <v>664</v>
      </c>
      <c r="C267" s="260">
        <f>監視サービス登録書!C267</f>
        <v>0</v>
      </c>
      <c r="D267" s="119">
        <v>27</v>
      </c>
      <c r="E267" s="133" t="str">
        <f>IF(監視サービス登録書!C$123&lt;D267,"","必須")</f>
        <v/>
      </c>
      <c r="F267" s="86" t="str">
        <f t="shared" si="9"/>
        <v/>
      </c>
      <c r="G267" s="141" t="str">
        <f>IF(監視サービス登録書!B267="","",IF(監視サービス登録書!C267&gt;(監視サービス登録書!C262)+1,"！",IF(監視サービス登録書!C272="","",IF(監視サービス登録書!C267&lt;=監視サービス登録書!C272,"","！"))))</f>
        <v/>
      </c>
      <c r="H267" s="144" t="str">
        <f>IF(監視サービス登録書!B267="","",IF(LEFT(監視サービス登録書!C$16,4)="ローカル","",IF(監視サービス登録書!C267=監視サービス登録書!C222,"！","")))</f>
        <v/>
      </c>
      <c r="I267" s="138" t="str">
        <f>IF(監視サービス登録書!B267="","",IF(監視サービス登録書!C272&lt;&gt;"","",IF(監視サービス登録書!C267=COUNTA(監視サービス登録書!C$73,監視サービス登録書!C$76,監視サービス登録書!C$79,監視サービス登録書!C$82,監視サービス登録書!C$85,監視サービス登録書!C$88,監視サービス登録書!C$91,監視サービス登録書!C$94),"","！")))</f>
        <v/>
      </c>
    </row>
    <row r="268" spans="1:9" ht="13.5" customHeight="1">
      <c r="A268" s="87" t="s">
        <v>390</v>
      </c>
      <c r="B268" s="88" t="s">
        <v>665</v>
      </c>
      <c r="C268" s="260">
        <f>監視サービス登録書!C268</f>
        <v>0</v>
      </c>
      <c r="D268" s="119">
        <v>27</v>
      </c>
      <c r="E268" s="133" t="str">
        <f>IF(監視サービス登録書!B268="","",IF(監視サービス登録書!C$123&lt;D268,"",IF(監視サービス登録書!C$131="有り","必須","")))</f>
        <v/>
      </c>
      <c r="F268" s="86" t="str">
        <f t="shared" si="9"/>
        <v/>
      </c>
      <c r="G268" s="141"/>
      <c r="H268" s="144"/>
      <c r="I268" s="138"/>
    </row>
    <row r="269" spans="1:9" ht="13.5" customHeight="1">
      <c r="A269" s="87" t="s">
        <v>391</v>
      </c>
      <c r="B269" s="88" t="s">
        <v>666</v>
      </c>
      <c r="C269" s="260">
        <f>監視サービス登録書!C269</f>
        <v>0</v>
      </c>
      <c r="D269" s="119">
        <v>28</v>
      </c>
      <c r="E269" s="133" t="str">
        <f>IF(監視サービス登録書!C$123&gt;=D269,"必須","")</f>
        <v/>
      </c>
      <c r="F269" s="86" t="str">
        <f t="shared" si="9"/>
        <v/>
      </c>
      <c r="G269" s="141"/>
      <c r="H269" s="144"/>
      <c r="I269" s="138"/>
    </row>
    <row r="270" spans="1:9">
      <c r="A270" s="87" t="s">
        <v>392</v>
      </c>
      <c r="B270" s="88" t="s">
        <v>667</v>
      </c>
      <c r="C270" s="260">
        <f>監視サービス登録書!C270</f>
        <v>0</v>
      </c>
      <c r="D270" s="119">
        <v>28</v>
      </c>
      <c r="E270" s="133" t="s">
        <v>944</v>
      </c>
      <c r="F270" s="86" t="str">
        <f t="shared" si="9"/>
        <v/>
      </c>
      <c r="G270" s="141"/>
      <c r="H270" s="144"/>
      <c r="I270" s="138"/>
    </row>
    <row r="271" spans="1:9" ht="13.5" customHeight="1">
      <c r="A271" s="87" t="s">
        <v>393</v>
      </c>
      <c r="B271" s="88" t="s">
        <v>928</v>
      </c>
      <c r="C271" s="260">
        <f>監視サービス登録書!D271</f>
        <v>0</v>
      </c>
      <c r="D271" s="119">
        <v>28</v>
      </c>
      <c r="E271" s="133" t="str">
        <f>IF(RIGHT(監視サービス登録書!C$16,4)="プラン）","必須","必須／任意")</f>
        <v>必須／任意</v>
      </c>
      <c r="F271" s="86" t="str">
        <f t="shared" si="9"/>
        <v/>
      </c>
      <c r="G271" s="141"/>
      <c r="H271" s="144"/>
      <c r="I271" s="138"/>
    </row>
    <row r="272" spans="1:9" ht="13.5" customHeight="1">
      <c r="A272" s="87" t="s">
        <v>394</v>
      </c>
      <c r="B272" s="88" t="s">
        <v>668</v>
      </c>
      <c r="C272" s="260">
        <f>監視サービス登録書!C272</f>
        <v>0</v>
      </c>
      <c r="D272" s="119">
        <v>28</v>
      </c>
      <c r="E272" s="133" t="str">
        <f>IF(監視サービス登録書!C$123&lt;D272,"","必須")</f>
        <v/>
      </c>
      <c r="F272" s="86" t="str">
        <f t="shared" si="9"/>
        <v/>
      </c>
      <c r="G272" s="141" t="str">
        <f>IF(監視サービス登録書!B272="","",IF(監視サービス登録書!C272&gt;(監視サービス登録書!C267)+1,"！",IF(監視サービス登録書!C277="","",IF(監視サービス登録書!C272&lt;=監視サービス登録書!C277,"","！"))))</f>
        <v/>
      </c>
      <c r="H272" s="144" t="str">
        <f>IF(監視サービス登録書!B272="","",IF(LEFT(監視サービス登録書!C$16,4)="ローカル","",IF(監視サービス登録書!C272=監視サービス登録書!C227,"！","")))</f>
        <v/>
      </c>
      <c r="I272" s="138" t="str">
        <f>IF(監視サービス登録書!B272="","",IF(監視サービス登録書!C277&lt;&gt;"","",IF(監視サービス登録書!C272=COUNTA(監視サービス登録書!C$73,監視サービス登録書!C$76,監視サービス登録書!C$79,監視サービス登録書!C$82,監視サービス登録書!C$85,監視サービス登録書!C$88,監視サービス登録書!C$91,監視サービス登録書!C$94),"","！")))</f>
        <v/>
      </c>
    </row>
    <row r="273" spans="1:9" ht="13.5" customHeight="1">
      <c r="A273" s="87" t="s">
        <v>395</v>
      </c>
      <c r="B273" s="88" t="s">
        <v>669</v>
      </c>
      <c r="C273" s="260">
        <f>監視サービス登録書!C273</f>
        <v>0</v>
      </c>
      <c r="D273" s="119">
        <v>28</v>
      </c>
      <c r="E273" s="133" t="str">
        <f>IF(監視サービス登録書!B273="","",IF(監視サービス登録書!C$123&lt;D273,"",IF(監視サービス登録書!C$131="有り","必須","")))</f>
        <v/>
      </c>
      <c r="F273" s="86" t="str">
        <f t="shared" si="9"/>
        <v/>
      </c>
      <c r="G273" s="141"/>
      <c r="H273" s="144"/>
      <c r="I273" s="138"/>
    </row>
    <row r="274" spans="1:9" ht="13.5" customHeight="1">
      <c r="A274" s="87" t="s">
        <v>396</v>
      </c>
      <c r="B274" s="88" t="s">
        <v>670</v>
      </c>
      <c r="C274" s="260">
        <f>監視サービス登録書!C274</f>
        <v>0</v>
      </c>
      <c r="D274" s="119">
        <v>29</v>
      </c>
      <c r="E274" s="133" t="str">
        <f>IF(監視サービス登録書!C$123&gt;=D274,"必須","")</f>
        <v/>
      </c>
      <c r="F274" s="86" t="str">
        <f t="shared" si="9"/>
        <v/>
      </c>
      <c r="G274" s="141"/>
      <c r="H274" s="144"/>
      <c r="I274" s="138"/>
    </row>
    <row r="275" spans="1:9">
      <c r="A275" s="87" t="s">
        <v>397</v>
      </c>
      <c r="B275" s="88" t="s">
        <v>671</v>
      </c>
      <c r="C275" s="260">
        <f>監視サービス登録書!C275</f>
        <v>0</v>
      </c>
      <c r="D275" s="119">
        <v>29</v>
      </c>
      <c r="E275" s="133" t="s">
        <v>944</v>
      </c>
      <c r="F275" s="86" t="str">
        <f t="shared" si="9"/>
        <v/>
      </c>
      <c r="G275" s="141"/>
      <c r="H275" s="144"/>
      <c r="I275" s="138"/>
    </row>
    <row r="276" spans="1:9" ht="13.5" customHeight="1">
      <c r="A276" s="87" t="s">
        <v>398</v>
      </c>
      <c r="B276" s="88" t="s">
        <v>929</v>
      </c>
      <c r="C276" s="260">
        <f>監視サービス登録書!D276</f>
        <v>0</v>
      </c>
      <c r="D276" s="119">
        <v>29</v>
      </c>
      <c r="E276" s="133" t="str">
        <f>IF(RIGHT(監視サービス登録書!C$16,4)="プラン）","必須","必須／任意")</f>
        <v>必須／任意</v>
      </c>
      <c r="F276" s="86" t="str">
        <f t="shared" si="9"/>
        <v/>
      </c>
      <c r="G276" s="141"/>
      <c r="H276" s="144"/>
      <c r="I276" s="138"/>
    </row>
    <row r="277" spans="1:9" ht="13.5" customHeight="1">
      <c r="A277" s="87" t="s">
        <v>399</v>
      </c>
      <c r="B277" s="88" t="s">
        <v>672</v>
      </c>
      <c r="C277" s="260">
        <f>監視サービス登録書!C277</f>
        <v>0</v>
      </c>
      <c r="D277" s="119">
        <v>29</v>
      </c>
      <c r="E277" s="133" t="str">
        <f>IF(監視サービス登録書!C$123&lt;D277,"","必須")</f>
        <v/>
      </c>
      <c r="F277" s="86" t="str">
        <f t="shared" si="9"/>
        <v/>
      </c>
      <c r="G277" s="141" t="str">
        <f>IF(監視サービス登録書!B277="","",IF(監視サービス登録書!C277&gt;(監視サービス登録書!C272)+1,"！",IF(監視サービス登録書!C282="","",IF(監視サービス登録書!C277&lt;=監視サービス登録書!C282,"","！"))))</f>
        <v/>
      </c>
      <c r="H277" s="144" t="str">
        <f>IF(監視サービス登録書!B277="","",IF(LEFT(監視サービス登録書!C$16,4)="ローカル","",IF(監視サービス登録書!C277=監視サービス登録書!C232,"！","")))</f>
        <v/>
      </c>
      <c r="I277" s="138" t="str">
        <f>IF(監視サービス登録書!B277="","",IF(監視サービス登録書!C282&lt;&gt;"","",IF(監視サービス登録書!C277=COUNTA(監視サービス登録書!C$73,監視サービス登録書!C$76,監視サービス登録書!C$79,監視サービス登録書!C$82,監視サービス登録書!C$85,監視サービス登録書!C$88,監視サービス登録書!C$91,監視サービス登録書!C$94),"","！")))</f>
        <v/>
      </c>
    </row>
    <row r="278" spans="1:9" ht="13.5" customHeight="1">
      <c r="A278" s="87" t="s">
        <v>400</v>
      </c>
      <c r="B278" s="88" t="s">
        <v>673</v>
      </c>
      <c r="C278" s="260">
        <f>監視サービス登録書!C278</f>
        <v>0</v>
      </c>
      <c r="D278" s="119">
        <v>29</v>
      </c>
      <c r="E278" s="133" t="str">
        <f>IF(監視サービス登録書!B278="","",IF(監視サービス登録書!C$123&lt;D278,"",IF(監視サービス登録書!C$131="有り","必須","")))</f>
        <v/>
      </c>
      <c r="F278" s="86" t="str">
        <f t="shared" si="9"/>
        <v/>
      </c>
      <c r="G278" s="141"/>
      <c r="H278" s="144"/>
      <c r="I278" s="138"/>
    </row>
    <row r="279" spans="1:9" ht="13.5" customHeight="1">
      <c r="A279" s="87" t="s">
        <v>877</v>
      </c>
      <c r="B279" s="88" t="s">
        <v>674</v>
      </c>
      <c r="C279" s="260">
        <f>監視サービス登録書!C279</f>
        <v>0</v>
      </c>
      <c r="D279" s="119">
        <v>30</v>
      </c>
      <c r="E279" s="133" t="str">
        <f>IF(監視サービス登録書!C$123&gt;=D279,"必須","")</f>
        <v/>
      </c>
      <c r="F279" s="86" t="str">
        <f t="shared" si="9"/>
        <v/>
      </c>
      <c r="G279" s="141"/>
      <c r="H279" s="144"/>
      <c r="I279" s="138"/>
    </row>
    <row r="280" spans="1:9">
      <c r="A280" s="87" t="s">
        <v>878</v>
      </c>
      <c r="B280" s="88" t="s">
        <v>675</v>
      </c>
      <c r="C280" s="260">
        <f>監視サービス登録書!C280</f>
        <v>0</v>
      </c>
      <c r="D280" s="119">
        <v>30</v>
      </c>
      <c r="E280" s="133" t="s">
        <v>944</v>
      </c>
      <c r="F280" s="86" t="str">
        <f t="shared" si="9"/>
        <v/>
      </c>
      <c r="G280" s="141"/>
      <c r="H280" s="144"/>
      <c r="I280" s="138"/>
    </row>
    <row r="281" spans="1:9" ht="13.5" customHeight="1">
      <c r="A281" s="87" t="s">
        <v>879</v>
      </c>
      <c r="B281" s="88" t="s">
        <v>930</v>
      </c>
      <c r="C281" s="260">
        <f>監視サービス登録書!D281</f>
        <v>0</v>
      </c>
      <c r="D281" s="119">
        <v>30</v>
      </c>
      <c r="E281" s="133" t="str">
        <f>IF(RIGHT(監視サービス登録書!C$16,4)="プラン）","必須","必須／任意")</f>
        <v>必須／任意</v>
      </c>
      <c r="F281" s="86" t="str">
        <f t="shared" si="9"/>
        <v/>
      </c>
      <c r="G281" s="141"/>
      <c r="H281" s="144"/>
      <c r="I281" s="138"/>
    </row>
    <row r="282" spans="1:9" ht="13.5" customHeight="1">
      <c r="A282" s="87" t="s">
        <v>880</v>
      </c>
      <c r="B282" s="88" t="s">
        <v>676</v>
      </c>
      <c r="C282" s="260">
        <f>監視サービス登録書!C282</f>
        <v>0</v>
      </c>
      <c r="D282" s="119">
        <v>30</v>
      </c>
      <c r="E282" s="133" t="str">
        <f>IF(監視サービス登録書!C$123&lt;D282,"","必須")</f>
        <v/>
      </c>
      <c r="F282" s="86" t="str">
        <f t="shared" si="9"/>
        <v/>
      </c>
      <c r="G282" s="141" t="str">
        <f>IF(監視サービス登録書!B282="","",IF(監視サービス登録書!C282&gt;(監視サービス登録書!C277)+1,"！",""))</f>
        <v/>
      </c>
      <c r="H282" s="144" t="str">
        <f>IF(監視サービス登録書!B282="","",IF(LEFT(監視サービス登録書!C$16,4)="ローカル","",IF(監視サービス登録書!C282=監視サービス登録書!C237,"！","")))</f>
        <v/>
      </c>
      <c r="I282" s="138"/>
    </row>
    <row r="283" spans="1:9" ht="13.5" customHeight="1">
      <c r="A283" s="87" t="s">
        <v>881</v>
      </c>
      <c r="B283" s="88" t="s">
        <v>677</v>
      </c>
      <c r="C283" s="260">
        <f>監視サービス登録書!C283</f>
        <v>0</v>
      </c>
      <c r="D283" s="119">
        <v>30</v>
      </c>
      <c r="E283" s="133" t="str">
        <f>IF(監視サービス登録書!B283="","",IF(監視サービス登録書!C$123&lt;D283,"",IF(監視サービス登録書!C$131="有り","必須","")))</f>
        <v/>
      </c>
      <c r="F283" s="86" t="str">
        <f t="shared" si="9"/>
        <v/>
      </c>
      <c r="G283" s="141"/>
      <c r="H283" s="144"/>
      <c r="I283" s="138"/>
    </row>
    <row r="284" spans="1:9">
      <c r="A284" s="87" t="s">
        <v>438</v>
      </c>
      <c r="B284" s="88"/>
      <c r="C284" s="262"/>
      <c r="D284" s="88"/>
      <c r="E284" s="88"/>
      <c r="F284" s="88"/>
      <c r="G284" s="168"/>
      <c r="H284" s="168"/>
      <c r="I284" s="168"/>
    </row>
    <row r="285" spans="1:9">
      <c r="A285" s="87" t="s">
        <v>438</v>
      </c>
      <c r="B285" s="88"/>
      <c r="C285" s="262"/>
      <c r="D285" s="88"/>
      <c r="E285" s="88"/>
      <c r="F285" s="88"/>
      <c r="G285" s="168"/>
      <c r="H285" s="168"/>
      <c r="I285" s="168"/>
    </row>
    <row r="286" spans="1:9">
      <c r="A286" s="87" t="s">
        <v>438</v>
      </c>
      <c r="B286" s="88"/>
      <c r="C286" s="262"/>
      <c r="D286" s="88"/>
      <c r="E286" s="88"/>
      <c r="F286" s="88"/>
      <c r="G286" s="168"/>
      <c r="H286" s="168"/>
      <c r="I286" s="168"/>
    </row>
    <row r="287" spans="1:9">
      <c r="A287" s="87" t="s">
        <v>438</v>
      </c>
      <c r="B287" s="88"/>
      <c r="C287" s="262"/>
      <c r="D287" s="88"/>
      <c r="E287" s="88"/>
      <c r="F287" s="88"/>
      <c r="G287" s="168"/>
      <c r="H287" s="168"/>
      <c r="I287" s="168"/>
    </row>
    <row r="288" spans="1:9">
      <c r="A288" s="87" t="s">
        <v>438</v>
      </c>
      <c r="B288" s="88"/>
      <c r="C288" s="262"/>
      <c r="D288" s="88"/>
      <c r="E288" s="88"/>
      <c r="F288" s="88"/>
      <c r="G288" s="168"/>
      <c r="H288" s="168"/>
      <c r="I288" s="168"/>
    </row>
    <row r="289" spans="1:9">
      <c r="A289" s="87" t="s">
        <v>438</v>
      </c>
      <c r="B289" s="88"/>
      <c r="C289" s="262"/>
      <c r="D289" s="88"/>
      <c r="E289" s="88"/>
      <c r="F289" s="88"/>
      <c r="G289" s="168"/>
      <c r="H289" s="168"/>
      <c r="I289" s="168"/>
    </row>
    <row r="290" spans="1:9">
      <c r="A290" s="87" t="s">
        <v>438</v>
      </c>
      <c r="B290" s="88"/>
      <c r="C290" s="262"/>
      <c r="D290" s="88"/>
      <c r="E290" s="88"/>
      <c r="F290" s="88"/>
      <c r="G290" s="168"/>
      <c r="H290" s="168"/>
      <c r="I290" s="168"/>
    </row>
    <row r="291" spans="1:9">
      <c r="A291" s="87" t="s">
        <v>438</v>
      </c>
      <c r="B291" s="88"/>
      <c r="C291" s="262"/>
      <c r="D291" s="88"/>
      <c r="E291" s="88"/>
      <c r="F291" s="88"/>
      <c r="G291" s="168"/>
      <c r="H291" s="168"/>
      <c r="I291" s="168"/>
    </row>
    <row r="292" spans="1:9">
      <c r="A292" s="87" t="s">
        <v>438</v>
      </c>
      <c r="B292" s="88"/>
      <c r="C292" s="262"/>
      <c r="D292" s="88"/>
      <c r="E292" s="88"/>
      <c r="F292" s="88"/>
      <c r="G292" s="168"/>
      <c r="H292" s="168"/>
      <c r="I292" s="168"/>
    </row>
    <row r="293" spans="1:9">
      <c r="A293" s="87" t="s">
        <v>438</v>
      </c>
      <c r="B293" s="88"/>
      <c r="C293" s="262"/>
      <c r="D293" s="88"/>
      <c r="E293" s="88"/>
      <c r="F293" s="88"/>
      <c r="G293" s="168"/>
      <c r="H293" s="168"/>
      <c r="I293" s="168"/>
    </row>
    <row r="294" spans="1:9">
      <c r="A294" s="153" t="s">
        <v>727</v>
      </c>
      <c r="B294" s="88"/>
      <c r="C294" s="262"/>
      <c r="D294" s="88"/>
      <c r="E294" s="88"/>
      <c r="F294" s="88"/>
      <c r="G294" s="168"/>
      <c r="H294" s="168"/>
      <c r="I294" s="168"/>
    </row>
    <row r="295" spans="1:9" ht="15" customHeight="1">
      <c r="A295" s="1" t="s">
        <v>726</v>
      </c>
      <c r="B295" s="86"/>
      <c r="C295" s="259"/>
      <c r="D295" s="86"/>
      <c r="E295" s="86"/>
      <c r="F295" s="86"/>
      <c r="G295" s="168"/>
      <c r="H295" s="168"/>
      <c r="I295" s="168"/>
    </row>
    <row r="296" spans="1:9">
      <c r="A296" s="87" t="s">
        <v>715</v>
      </c>
      <c r="B296" s="88" t="s">
        <v>433</v>
      </c>
      <c r="C296" s="260">
        <f>監視サービス登録書!C296</f>
        <v>0</v>
      </c>
      <c r="D296" s="88"/>
      <c r="E296" s="133"/>
      <c r="F296" s="86" t="str">
        <f t="shared" ref="F296:F303" si="10">IF(G296&lt;&gt;"",G296,IF(H296&lt;&gt;"",H296,IF(I296&lt;&gt;"",I296,"")))</f>
        <v/>
      </c>
      <c r="G296" s="141"/>
      <c r="H296" s="144"/>
      <c r="I296" s="138"/>
    </row>
    <row r="297" spans="1:9">
      <c r="A297" s="87" t="s">
        <v>717</v>
      </c>
      <c r="B297" s="88" t="s">
        <v>446</v>
      </c>
      <c r="C297" s="260">
        <f>監視サービス登録書!C297</f>
        <v>0</v>
      </c>
      <c r="D297" s="88"/>
      <c r="E297" s="133" t="str">
        <f>IF(監視サービス登録書!C$296="","",IF(RIGHT(監視サービス登録書!C$296,9)="見積りを依頼します","必須",""))</f>
        <v/>
      </c>
      <c r="F297" s="86" t="str">
        <f t="shared" si="10"/>
        <v/>
      </c>
      <c r="G297" s="141"/>
      <c r="H297" s="144"/>
      <c r="I297" s="138"/>
    </row>
    <row r="298" spans="1:9">
      <c r="A298" s="87" t="s">
        <v>719</v>
      </c>
      <c r="B298" s="88" t="s">
        <v>447</v>
      </c>
      <c r="C298" s="260">
        <f>監視サービス登録書!C298</f>
        <v>0</v>
      </c>
      <c r="D298" s="88"/>
      <c r="E298" s="133" t="str">
        <f>IF(監視サービス登録書!C$296="","",IF(RIGHT(監視サービス登録書!C$296,9)&lt;&gt;"見積りを依頼します","",IF(監視サービス登録書!C$297="","",IF(監視サービス登録書!C$296="注文済みです","",IF(監視サービス登録書!C$297="下記連絡先になります","必須","")))))</f>
        <v/>
      </c>
      <c r="F298" s="86" t="str">
        <f t="shared" si="10"/>
        <v/>
      </c>
      <c r="G298" s="141"/>
      <c r="H298" s="144"/>
      <c r="I298" s="138"/>
    </row>
    <row r="299" spans="1:9">
      <c r="A299" s="87" t="s">
        <v>721</v>
      </c>
      <c r="B299" s="88" t="s">
        <v>448</v>
      </c>
      <c r="C299" s="260">
        <f>監視サービス登録書!C299</f>
        <v>0</v>
      </c>
      <c r="D299" s="88"/>
      <c r="E299" s="133" t="str">
        <f>IF(監視サービス登録書!C$296="","",IF(RIGHT(監視サービス登録書!C$296,9)&lt;&gt;"見積りを依頼します","",IF(監視サービス登録書!C$297="","",IF(監視サービス登録書!C$296="注文済みです","",IF(監視サービス登録書!C$297="下記連絡先になります","必須","")))))</f>
        <v/>
      </c>
      <c r="F299" s="86" t="str">
        <f t="shared" si="10"/>
        <v/>
      </c>
      <c r="G299" s="141"/>
      <c r="H299" s="144"/>
      <c r="I299" s="138"/>
    </row>
    <row r="300" spans="1:9">
      <c r="A300" s="87" t="s">
        <v>722</v>
      </c>
      <c r="B300" s="88" t="s">
        <v>472</v>
      </c>
      <c r="C300" s="260" t="str">
        <f>CONCATENATE(監視サービス登録書!C300,"　",監視サービス登録書!F300)</f>
        <v>　</v>
      </c>
      <c r="D300" s="88"/>
      <c r="E300" s="133" t="str">
        <f>IF(監視サービス登録書!C$296="","",IF(RIGHT(監視サービス登録書!C$296,9)&lt;&gt;"見積りを依頼します","",IF(監視サービス登録書!C$297="","",IF(監視サービス登録書!C$296="注文済みです","",IF(監視サービス登録書!C$297="下記連絡先になります","必須","")))))</f>
        <v/>
      </c>
      <c r="F300" s="86" t="str">
        <f t="shared" si="10"/>
        <v/>
      </c>
      <c r="G300" s="141"/>
      <c r="H300" s="144"/>
      <c r="I300" s="138"/>
    </row>
    <row r="301" spans="1:9">
      <c r="A301" s="87" t="s">
        <v>723</v>
      </c>
      <c r="B301" s="88" t="s">
        <v>473</v>
      </c>
      <c r="C301" s="260" t="str">
        <f>CONCATENATE(監視サービス登録書!C301,"　",監視サービス登録書!F301)</f>
        <v>　</v>
      </c>
      <c r="D301" s="88"/>
      <c r="E301" s="133" t="str">
        <f>IF(監視サービス登録書!C$296="","",IF(RIGHT(監視サービス登録書!C$296,9)&lt;&gt;"見積りを依頼します","",IF(監視サービス登録書!C$297="","",IF(監視サービス登録書!C$296="注文済みです","",IF(監視サービス登録書!C$297="下記連絡先になります","必須","")))))</f>
        <v/>
      </c>
      <c r="F301" s="86" t="str">
        <f t="shared" si="10"/>
        <v/>
      </c>
      <c r="G301" s="141"/>
      <c r="H301" s="144"/>
      <c r="I301" s="138"/>
    </row>
    <row r="302" spans="1:9">
      <c r="A302" s="87" t="s">
        <v>724</v>
      </c>
      <c r="B302" s="88" t="s">
        <v>4</v>
      </c>
      <c r="C302" s="260">
        <f>監視サービス登録書!C302</f>
        <v>0</v>
      </c>
      <c r="D302" s="88"/>
      <c r="E302" s="133" t="str">
        <f>IF(監視サービス登録書!C$296="","",IF(RIGHT(監視サービス登録書!C$296,9)&lt;&gt;"見積りを依頼します","",IF(監視サービス登録書!C$297="","",IF(監視サービス登録書!C$296="注文済みです","",IF(監視サービス登録書!C$297="下記連絡先になります","必須","")))))</f>
        <v/>
      </c>
      <c r="F302" s="86" t="str">
        <f t="shared" si="10"/>
        <v/>
      </c>
      <c r="G302" s="141" t="str">
        <f>IF(監視サービス登録書!C302="","",IF(LEN(監視サービス登録書!C302)=10,"",IF(LEN(監視サービス登録書!C302)=11,"","！")))</f>
        <v/>
      </c>
      <c r="H302" s="144"/>
      <c r="I302" s="138"/>
    </row>
    <row r="303" spans="1:9">
      <c r="A303" s="87" t="s">
        <v>725</v>
      </c>
      <c r="B303" s="88" t="s">
        <v>12</v>
      </c>
      <c r="C303" s="260">
        <f>監視サービス登録書!C303</f>
        <v>0</v>
      </c>
      <c r="D303" s="88"/>
      <c r="E303" s="133" t="str">
        <f>IF(監視サービス登録書!C$296="","",IF(RIGHT(監視サービス登録書!C$296,9)&lt;&gt;"見積りを依頼します","",IF(監視サービス登録書!C$297="","",IF(監視サービス登録書!C$296="注文済みです","",IF(監視サービス登録書!C$297="下記連絡先になります","必須","")))))</f>
        <v/>
      </c>
      <c r="F303" s="86" t="str">
        <f t="shared" si="10"/>
        <v/>
      </c>
      <c r="G303" s="141"/>
      <c r="H303" s="144"/>
      <c r="I303" s="138"/>
    </row>
  </sheetData>
  <sheetProtection password="DFC2" sheet="1" objects="1" scenarios="1"/>
  <phoneticPr fontId="4"/>
  <conditionalFormatting sqref="G132:I132">
    <cfRule type="containsText" dxfId="4" priority="1" operator="containsText" text="NG">
      <formula>NOT(ISERROR(SEARCH("NG",G132)))</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G42"/>
  <sheetViews>
    <sheetView view="pageBreakPreview" zoomScaleNormal="100" zoomScaleSheetLayoutView="100" workbookViewId="0"/>
  </sheetViews>
  <sheetFormatPr defaultColWidth="9" defaultRowHeight="13"/>
  <cols>
    <col min="1" max="1" width="3.6328125" style="3" customWidth="1"/>
    <col min="2" max="2" width="16.90625" style="3" customWidth="1"/>
    <col min="3" max="3" width="29.6328125" style="3" customWidth="1"/>
    <col min="4" max="4" width="12.26953125" style="3" customWidth="1"/>
    <col min="5" max="5" width="51.08984375" style="3" customWidth="1"/>
    <col min="6" max="6" width="37.6328125" style="3" customWidth="1"/>
    <col min="7" max="7" width="50.6328125" style="3" customWidth="1"/>
    <col min="8" max="16384" width="9" style="3"/>
  </cols>
  <sheetData>
    <row r="1" spans="1:7" ht="15">
      <c r="A1" s="2" t="s">
        <v>24</v>
      </c>
      <c r="B1" s="2"/>
      <c r="C1" s="2"/>
      <c r="D1" s="2"/>
      <c r="E1" s="2"/>
      <c r="F1" s="2"/>
      <c r="G1" s="2"/>
    </row>
    <row r="2" spans="1:7" ht="22">
      <c r="A2" s="4" t="s">
        <v>753</v>
      </c>
      <c r="B2" s="5"/>
      <c r="C2" s="5"/>
      <c r="D2" s="5"/>
      <c r="E2" s="6"/>
      <c r="F2" s="2"/>
      <c r="G2" s="7" t="s">
        <v>735</v>
      </c>
    </row>
    <row r="3" spans="1:7" ht="15">
      <c r="A3" s="2"/>
      <c r="B3" s="2"/>
      <c r="C3" s="2"/>
      <c r="D3" s="2"/>
      <c r="E3" s="2"/>
      <c r="F3" s="2"/>
      <c r="G3" s="7" t="s">
        <v>27</v>
      </c>
    </row>
    <row r="4" spans="1:7" ht="15">
      <c r="A4" s="2"/>
      <c r="B4" s="2" t="s">
        <v>740</v>
      </c>
      <c r="C4" s="2"/>
      <c r="D4" s="2"/>
      <c r="E4" s="2"/>
      <c r="F4" s="2"/>
      <c r="G4" s="7" t="s">
        <v>28</v>
      </c>
    </row>
    <row r="5" spans="1:7" ht="15">
      <c r="B5" s="2" t="s">
        <v>739</v>
      </c>
      <c r="G5" s="7" t="s">
        <v>29</v>
      </c>
    </row>
    <row r="6" spans="1:7" ht="15">
      <c r="B6" s="150" t="s">
        <v>736</v>
      </c>
      <c r="G6" s="7"/>
    </row>
    <row r="7" spans="1:7" ht="15">
      <c r="B7" s="150"/>
      <c r="G7" s="7"/>
    </row>
    <row r="9" spans="1:7" ht="15.5" thickBot="1">
      <c r="A9" s="2" t="s">
        <v>759</v>
      </c>
      <c r="B9" s="2"/>
      <c r="C9" s="2"/>
      <c r="D9" s="2"/>
      <c r="E9" s="2"/>
    </row>
    <row r="10" spans="1:7" ht="58.5" customHeight="1" thickBot="1">
      <c r="A10" s="472" t="s">
        <v>734</v>
      </c>
      <c r="B10" s="473"/>
      <c r="C10" s="473"/>
      <c r="D10" s="473"/>
      <c r="E10" s="120"/>
    </row>
    <row r="12" spans="1:7" ht="15">
      <c r="A12" s="2" t="s">
        <v>733</v>
      </c>
      <c r="B12" s="2"/>
      <c r="C12" s="2"/>
      <c r="D12" s="2"/>
      <c r="E12" s="2"/>
      <c r="F12" s="2"/>
      <c r="G12" s="2"/>
    </row>
    <row r="13" spans="1:7" ht="15.5" thickBot="1">
      <c r="A13" s="151" t="s">
        <v>35</v>
      </c>
      <c r="B13" s="461" t="s">
        <v>99</v>
      </c>
      <c r="C13" s="461"/>
      <c r="D13" s="461"/>
      <c r="E13" s="152" t="s">
        <v>827</v>
      </c>
      <c r="F13" s="461" t="s">
        <v>39</v>
      </c>
      <c r="G13" s="461"/>
    </row>
    <row r="14" spans="1:7" ht="15">
      <c r="A14" s="31">
        <v>1</v>
      </c>
      <c r="B14" s="464" t="s">
        <v>101</v>
      </c>
      <c r="C14" s="465"/>
      <c r="D14" s="465"/>
      <c r="E14" s="121"/>
      <c r="F14" s="466" t="s">
        <v>102</v>
      </c>
      <c r="G14" s="467"/>
    </row>
    <row r="15" spans="1:7" ht="15">
      <c r="A15" s="32">
        <v>2</v>
      </c>
      <c r="B15" s="464" t="s">
        <v>103</v>
      </c>
      <c r="C15" s="465"/>
      <c r="D15" s="465"/>
      <c r="E15" s="122"/>
      <c r="F15" s="468"/>
      <c r="G15" s="469"/>
    </row>
    <row r="16" spans="1:7" ht="15">
      <c r="A16" s="32">
        <v>3</v>
      </c>
      <c r="B16" s="464" t="s">
        <v>104</v>
      </c>
      <c r="C16" s="465"/>
      <c r="D16" s="465"/>
      <c r="E16" s="122"/>
      <c r="F16" s="468"/>
      <c r="G16" s="469"/>
    </row>
    <row r="17" spans="1:7" ht="15">
      <c r="A17" s="32">
        <v>4</v>
      </c>
      <c r="B17" s="464" t="s">
        <v>105</v>
      </c>
      <c r="C17" s="465"/>
      <c r="D17" s="465"/>
      <c r="E17" s="122"/>
      <c r="F17" s="468"/>
      <c r="G17" s="469"/>
    </row>
    <row r="18" spans="1:7" ht="15">
      <c r="A18" s="32">
        <v>5</v>
      </c>
      <c r="B18" s="464" t="s">
        <v>106</v>
      </c>
      <c r="C18" s="465"/>
      <c r="D18" s="465"/>
      <c r="E18" s="122"/>
      <c r="F18" s="468"/>
      <c r="G18" s="469"/>
    </row>
    <row r="19" spans="1:7" ht="15">
      <c r="A19" s="32">
        <v>6</v>
      </c>
      <c r="B19" s="464" t="s">
        <v>107</v>
      </c>
      <c r="C19" s="465"/>
      <c r="D19" s="465"/>
      <c r="E19" s="122"/>
      <c r="F19" s="468"/>
      <c r="G19" s="469"/>
    </row>
    <row r="20" spans="1:7" ht="15">
      <c r="A20" s="32">
        <v>7</v>
      </c>
      <c r="B20" s="464" t="s">
        <v>108</v>
      </c>
      <c r="C20" s="465"/>
      <c r="D20" s="465"/>
      <c r="E20" s="122"/>
      <c r="F20" s="468"/>
      <c r="G20" s="469"/>
    </row>
    <row r="21" spans="1:7" ht="15">
      <c r="A21" s="32">
        <v>8</v>
      </c>
      <c r="B21" s="464" t="s">
        <v>109</v>
      </c>
      <c r="C21" s="465"/>
      <c r="D21" s="465"/>
      <c r="E21" s="122"/>
      <c r="F21" s="468"/>
      <c r="G21" s="469"/>
    </row>
    <row r="22" spans="1:7" ht="15">
      <c r="A22" s="32">
        <v>9</v>
      </c>
      <c r="B22" s="464" t="s">
        <v>110</v>
      </c>
      <c r="C22" s="465"/>
      <c r="D22" s="465"/>
      <c r="E22" s="122"/>
      <c r="F22" s="468"/>
      <c r="G22" s="469"/>
    </row>
    <row r="23" spans="1:7" ht="15.5" thickBot="1">
      <c r="A23" s="32">
        <v>10</v>
      </c>
      <c r="B23" s="464" t="s">
        <v>111</v>
      </c>
      <c r="C23" s="465"/>
      <c r="D23" s="465"/>
      <c r="E23" s="128"/>
      <c r="F23" s="470"/>
      <c r="G23" s="471"/>
    </row>
    <row r="25" spans="1:7" ht="15">
      <c r="A25" s="2" t="s">
        <v>825</v>
      </c>
    </row>
    <row r="26" spans="1:7" ht="15.5" thickBot="1">
      <c r="A26" s="154" t="s">
        <v>35</v>
      </c>
      <c r="B26" s="480" t="s">
        <v>99</v>
      </c>
      <c r="C26" s="481"/>
      <c r="D26" s="481"/>
      <c r="E26" s="482"/>
      <c r="F26" s="461" t="s">
        <v>39</v>
      </c>
      <c r="G26" s="461"/>
    </row>
    <row r="27" spans="1:7" ht="13.5">
      <c r="A27" s="155">
        <v>1</v>
      </c>
      <c r="B27" s="483"/>
      <c r="C27" s="484"/>
      <c r="D27" s="484"/>
      <c r="E27" s="485"/>
      <c r="F27" s="474" t="s">
        <v>841</v>
      </c>
      <c r="G27" s="475"/>
    </row>
    <row r="28" spans="1:7" ht="15.75" customHeight="1">
      <c r="A28" s="156">
        <v>2</v>
      </c>
      <c r="B28" s="489" t="s">
        <v>749</v>
      </c>
      <c r="C28" s="490"/>
      <c r="D28" s="490"/>
      <c r="E28" s="491"/>
      <c r="F28" s="476"/>
      <c r="G28" s="477"/>
    </row>
    <row r="29" spans="1:7" ht="14" thickBot="1">
      <c r="A29" s="156">
        <v>3</v>
      </c>
      <c r="B29" s="486" t="s">
        <v>842</v>
      </c>
      <c r="C29" s="487"/>
      <c r="D29" s="487"/>
      <c r="E29" s="488"/>
      <c r="F29" s="478"/>
      <c r="G29" s="479"/>
    </row>
    <row r="30" spans="1:7" ht="13.5">
      <c r="B30" s="188" t="s">
        <v>845</v>
      </c>
    </row>
    <row r="32" spans="1:7" ht="15">
      <c r="A32" s="2" t="s">
        <v>826</v>
      </c>
    </row>
    <row r="33" spans="1:7" ht="15.5" thickBot="1">
      <c r="A33" s="183" t="s">
        <v>35</v>
      </c>
      <c r="B33" s="480" t="s">
        <v>99</v>
      </c>
      <c r="C33" s="481"/>
      <c r="D33" s="481"/>
      <c r="E33" s="482"/>
      <c r="F33" s="492" t="s">
        <v>39</v>
      </c>
      <c r="G33" s="493"/>
    </row>
    <row r="34" spans="1:7" ht="13.5">
      <c r="A34" s="155">
        <v>1</v>
      </c>
      <c r="B34" s="483"/>
      <c r="C34" s="484"/>
      <c r="D34" s="484"/>
      <c r="E34" s="485"/>
      <c r="F34" s="474" t="s">
        <v>841</v>
      </c>
      <c r="G34" s="475"/>
    </row>
    <row r="35" spans="1:7" ht="15.75" customHeight="1">
      <c r="A35" s="156">
        <v>2</v>
      </c>
      <c r="B35" s="489" t="s">
        <v>749</v>
      </c>
      <c r="C35" s="490"/>
      <c r="D35" s="490"/>
      <c r="E35" s="491"/>
      <c r="F35" s="476"/>
      <c r="G35" s="477"/>
    </row>
    <row r="36" spans="1:7" ht="14" thickBot="1">
      <c r="A36" s="156">
        <v>3</v>
      </c>
      <c r="B36" s="486" t="s">
        <v>842</v>
      </c>
      <c r="C36" s="487"/>
      <c r="D36" s="487"/>
      <c r="E36" s="488"/>
      <c r="F36" s="478"/>
      <c r="G36" s="479"/>
    </row>
    <row r="37" spans="1:7" ht="13.5">
      <c r="B37" s="188" t="s">
        <v>846</v>
      </c>
    </row>
    <row r="39" spans="1:7" ht="15">
      <c r="A39" s="2" t="s">
        <v>830</v>
      </c>
    </row>
    <row r="40" spans="1:7" ht="15.5" thickBot="1">
      <c r="A40" s="184" t="s">
        <v>35</v>
      </c>
      <c r="B40" s="461" t="s">
        <v>99</v>
      </c>
      <c r="C40" s="461"/>
      <c r="D40" s="461"/>
      <c r="E40" s="185" t="s">
        <v>827</v>
      </c>
      <c r="F40" s="461" t="s">
        <v>39</v>
      </c>
      <c r="G40" s="461"/>
    </row>
    <row r="41" spans="1:7" ht="14.25" customHeight="1">
      <c r="A41" s="32">
        <v>1</v>
      </c>
      <c r="B41" s="462" t="s">
        <v>831</v>
      </c>
      <c r="C41" s="462"/>
      <c r="D41" s="463"/>
      <c r="E41" s="186"/>
      <c r="F41" s="459" t="s">
        <v>839</v>
      </c>
      <c r="G41" s="460"/>
    </row>
    <row r="42" spans="1:7" ht="15" customHeight="1" thickBot="1">
      <c r="A42" s="32">
        <v>2</v>
      </c>
      <c r="B42" s="462" t="s">
        <v>832</v>
      </c>
      <c r="C42" s="462"/>
      <c r="D42" s="463"/>
      <c r="E42" s="187"/>
      <c r="F42" s="459" t="s">
        <v>840</v>
      </c>
      <c r="G42" s="460"/>
    </row>
  </sheetData>
  <sheetProtection password="DFC2" sheet="1" objects="1" scenarios="1"/>
  <mergeCells count="32">
    <mergeCell ref="B33:E33"/>
    <mergeCell ref="B34:E34"/>
    <mergeCell ref="B35:E35"/>
    <mergeCell ref="B36:E36"/>
    <mergeCell ref="F33:G33"/>
    <mergeCell ref="F34:G36"/>
    <mergeCell ref="F26:G26"/>
    <mergeCell ref="F27:G29"/>
    <mergeCell ref="B26:E26"/>
    <mergeCell ref="B27:E27"/>
    <mergeCell ref="B29:E29"/>
    <mergeCell ref="B28:E28"/>
    <mergeCell ref="A10:D10"/>
    <mergeCell ref="B21:D21"/>
    <mergeCell ref="B22:D22"/>
    <mergeCell ref="B23:D23"/>
    <mergeCell ref="B13:D13"/>
    <mergeCell ref="F13:G13"/>
    <mergeCell ref="B14:D14"/>
    <mergeCell ref="F14:G23"/>
    <mergeCell ref="B15:D15"/>
    <mergeCell ref="B16:D16"/>
    <mergeCell ref="B17:D17"/>
    <mergeCell ref="B18:D18"/>
    <mergeCell ref="B19:D19"/>
    <mergeCell ref="B20:D20"/>
    <mergeCell ref="F42:G42"/>
    <mergeCell ref="B40:D40"/>
    <mergeCell ref="F40:G40"/>
    <mergeCell ref="B41:D41"/>
    <mergeCell ref="B42:D42"/>
    <mergeCell ref="F41:G41"/>
  </mergeCells>
  <phoneticPr fontId="4"/>
  <dataValidations count="1">
    <dataValidation type="list" allowBlank="1" showInputMessage="1" showErrorMessage="1" sqref="E41:E42">
      <formula1>"""監視サービス登録書""シート５項記載の発電事業オーナー様,""監視サービス登録書""シート６項記載の保守責任事業者様"</formula1>
    </dataValidation>
  </dataValidations>
  <pageMargins left="0.31496062992125984" right="0.23622047244094491" top="0.47244094488188981" bottom="0.35433070866141736" header="0.23622047244094491" footer="0.19685039370078741"/>
  <pageSetup paperSize="9" scale="71" orientation="landscape" r:id="rId1"/>
  <headerFooter>
    <oddFooter>&amp;P / &amp;N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171450</xdr:colOff>
                    <xdr:row>9</xdr:row>
                    <xdr:rowOff>279400</xdr:rowOff>
                  </from>
                  <to>
                    <xdr:col>4</xdr:col>
                    <xdr:colOff>2705100</xdr:colOff>
                    <xdr:row>9</xdr:row>
                    <xdr:rowOff>469900</xdr:rowOff>
                  </to>
                </anchor>
              </controlPr>
            </control>
          </mc:Choice>
        </mc:AlternateContent>
        <mc:AlternateContent xmlns:mc="http://schemas.openxmlformats.org/markup-compatibility/2006">
          <mc:Choice Requires="x14">
            <control shapeId="10256" r:id="rId5" name="Check Box 16">
              <controlPr defaultSize="0" autoFill="0" autoLine="0" autoPict="0">
                <anchor moveWithCells="1">
                  <from>
                    <xdr:col>4</xdr:col>
                    <xdr:colOff>628650</xdr:colOff>
                    <xdr:row>13</xdr:row>
                    <xdr:rowOff>19050</xdr:rowOff>
                  </from>
                  <to>
                    <xdr:col>4</xdr:col>
                    <xdr:colOff>1250950</xdr:colOff>
                    <xdr:row>13</xdr:row>
                    <xdr:rowOff>190500</xdr:rowOff>
                  </to>
                </anchor>
              </controlPr>
            </control>
          </mc:Choice>
        </mc:AlternateContent>
        <mc:AlternateContent xmlns:mc="http://schemas.openxmlformats.org/markup-compatibility/2006">
          <mc:Choice Requires="x14">
            <control shapeId="10257" r:id="rId6" name="Check Box 17">
              <controlPr defaultSize="0" autoFill="0" autoLine="0" autoPict="0">
                <anchor moveWithCells="1">
                  <from>
                    <xdr:col>4</xdr:col>
                    <xdr:colOff>2095500</xdr:colOff>
                    <xdr:row>13</xdr:row>
                    <xdr:rowOff>19050</xdr:rowOff>
                  </from>
                  <to>
                    <xdr:col>4</xdr:col>
                    <xdr:colOff>2717800</xdr:colOff>
                    <xdr:row>13</xdr:row>
                    <xdr:rowOff>190500</xdr:rowOff>
                  </to>
                </anchor>
              </controlPr>
            </control>
          </mc:Choice>
        </mc:AlternateContent>
        <mc:AlternateContent xmlns:mc="http://schemas.openxmlformats.org/markup-compatibility/2006">
          <mc:Choice Requires="x14">
            <control shapeId="10258" r:id="rId7" name="Check Box 18">
              <controlPr defaultSize="0" autoFill="0" autoLine="0" autoPict="0">
                <anchor moveWithCells="1">
                  <from>
                    <xdr:col>4</xdr:col>
                    <xdr:colOff>628650</xdr:colOff>
                    <xdr:row>14</xdr:row>
                    <xdr:rowOff>12700</xdr:rowOff>
                  </from>
                  <to>
                    <xdr:col>4</xdr:col>
                    <xdr:colOff>1250950</xdr:colOff>
                    <xdr:row>14</xdr:row>
                    <xdr:rowOff>184150</xdr:rowOff>
                  </to>
                </anchor>
              </controlPr>
            </control>
          </mc:Choice>
        </mc:AlternateContent>
        <mc:AlternateContent xmlns:mc="http://schemas.openxmlformats.org/markup-compatibility/2006">
          <mc:Choice Requires="x14">
            <control shapeId="10259" r:id="rId8" name="Check Box 19">
              <controlPr defaultSize="0" autoFill="0" autoLine="0" autoPict="0">
                <anchor moveWithCells="1">
                  <from>
                    <xdr:col>4</xdr:col>
                    <xdr:colOff>2095500</xdr:colOff>
                    <xdr:row>14</xdr:row>
                    <xdr:rowOff>12700</xdr:rowOff>
                  </from>
                  <to>
                    <xdr:col>4</xdr:col>
                    <xdr:colOff>2717800</xdr:colOff>
                    <xdr:row>14</xdr:row>
                    <xdr:rowOff>184150</xdr:rowOff>
                  </to>
                </anchor>
              </controlPr>
            </control>
          </mc:Choice>
        </mc:AlternateContent>
        <mc:AlternateContent xmlns:mc="http://schemas.openxmlformats.org/markup-compatibility/2006">
          <mc:Choice Requires="x14">
            <control shapeId="10260" r:id="rId9" name="Check Box 20">
              <controlPr defaultSize="0" autoFill="0" autoLine="0" autoPict="0">
                <anchor moveWithCells="1">
                  <from>
                    <xdr:col>4</xdr:col>
                    <xdr:colOff>628650</xdr:colOff>
                    <xdr:row>15</xdr:row>
                    <xdr:rowOff>12700</xdr:rowOff>
                  </from>
                  <to>
                    <xdr:col>4</xdr:col>
                    <xdr:colOff>1250950</xdr:colOff>
                    <xdr:row>15</xdr:row>
                    <xdr:rowOff>184150</xdr:rowOff>
                  </to>
                </anchor>
              </controlPr>
            </control>
          </mc:Choice>
        </mc:AlternateContent>
        <mc:AlternateContent xmlns:mc="http://schemas.openxmlformats.org/markup-compatibility/2006">
          <mc:Choice Requires="x14">
            <control shapeId="10261" r:id="rId10" name="Check Box 21">
              <controlPr defaultSize="0" autoFill="0" autoLine="0" autoPict="0">
                <anchor moveWithCells="1">
                  <from>
                    <xdr:col>4</xdr:col>
                    <xdr:colOff>2095500</xdr:colOff>
                    <xdr:row>15</xdr:row>
                    <xdr:rowOff>12700</xdr:rowOff>
                  </from>
                  <to>
                    <xdr:col>4</xdr:col>
                    <xdr:colOff>2717800</xdr:colOff>
                    <xdr:row>15</xdr:row>
                    <xdr:rowOff>184150</xdr:rowOff>
                  </to>
                </anchor>
              </controlPr>
            </control>
          </mc:Choice>
        </mc:AlternateContent>
        <mc:AlternateContent xmlns:mc="http://schemas.openxmlformats.org/markup-compatibility/2006">
          <mc:Choice Requires="x14">
            <control shapeId="10262" r:id="rId11" name="Check Box 22">
              <controlPr defaultSize="0" autoFill="0" autoLine="0" autoPict="0">
                <anchor moveWithCells="1">
                  <from>
                    <xdr:col>4</xdr:col>
                    <xdr:colOff>628650</xdr:colOff>
                    <xdr:row>16</xdr:row>
                    <xdr:rowOff>19050</xdr:rowOff>
                  </from>
                  <to>
                    <xdr:col>4</xdr:col>
                    <xdr:colOff>1250950</xdr:colOff>
                    <xdr:row>16</xdr:row>
                    <xdr:rowOff>190500</xdr:rowOff>
                  </to>
                </anchor>
              </controlPr>
            </control>
          </mc:Choice>
        </mc:AlternateContent>
        <mc:AlternateContent xmlns:mc="http://schemas.openxmlformats.org/markup-compatibility/2006">
          <mc:Choice Requires="x14">
            <control shapeId="10263" r:id="rId12" name="Check Box 23">
              <controlPr defaultSize="0" autoFill="0" autoLine="0" autoPict="0">
                <anchor moveWithCells="1">
                  <from>
                    <xdr:col>4</xdr:col>
                    <xdr:colOff>2095500</xdr:colOff>
                    <xdr:row>16</xdr:row>
                    <xdr:rowOff>19050</xdr:rowOff>
                  </from>
                  <to>
                    <xdr:col>4</xdr:col>
                    <xdr:colOff>2717800</xdr:colOff>
                    <xdr:row>16</xdr:row>
                    <xdr:rowOff>190500</xdr:rowOff>
                  </to>
                </anchor>
              </controlPr>
            </control>
          </mc:Choice>
        </mc:AlternateContent>
        <mc:AlternateContent xmlns:mc="http://schemas.openxmlformats.org/markup-compatibility/2006">
          <mc:Choice Requires="x14">
            <control shapeId="10264" r:id="rId13" name="Check Box 24">
              <controlPr defaultSize="0" autoFill="0" autoLine="0" autoPict="0">
                <anchor moveWithCells="1">
                  <from>
                    <xdr:col>4</xdr:col>
                    <xdr:colOff>628650</xdr:colOff>
                    <xdr:row>17</xdr:row>
                    <xdr:rowOff>19050</xdr:rowOff>
                  </from>
                  <to>
                    <xdr:col>4</xdr:col>
                    <xdr:colOff>1250950</xdr:colOff>
                    <xdr:row>17</xdr:row>
                    <xdr:rowOff>190500</xdr:rowOff>
                  </to>
                </anchor>
              </controlPr>
            </control>
          </mc:Choice>
        </mc:AlternateContent>
        <mc:AlternateContent xmlns:mc="http://schemas.openxmlformats.org/markup-compatibility/2006">
          <mc:Choice Requires="x14">
            <control shapeId="10265" r:id="rId14" name="Check Box 25">
              <controlPr defaultSize="0" autoFill="0" autoLine="0" autoPict="0">
                <anchor moveWithCells="1">
                  <from>
                    <xdr:col>4</xdr:col>
                    <xdr:colOff>2095500</xdr:colOff>
                    <xdr:row>17</xdr:row>
                    <xdr:rowOff>19050</xdr:rowOff>
                  </from>
                  <to>
                    <xdr:col>4</xdr:col>
                    <xdr:colOff>2717800</xdr:colOff>
                    <xdr:row>17</xdr:row>
                    <xdr:rowOff>190500</xdr:rowOff>
                  </to>
                </anchor>
              </controlPr>
            </control>
          </mc:Choice>
        </mc:AlternateContent>
        <mc:AlternateContent xmlns:mc="http://schemas.openxmlformats.org/markup-compatibility/2006">
          <mc:Choice Requires="x14">
            <control shapeId="10266" r:id="rId15" name="Check Box 26">
              <controlPr defaultSize="0" autoFill="0" autoLine="0" autoPict="0">
                <anchor moveWithCells="1">
                  <from>
                    <xdr:col>4</xdr:col>
                    <xdr:colOff>628650</xdr:colOff>
                    <xdr:row>18</xdr:row>
                    <xdr:rowOff>19050</xdr:rowOff>
                  </from>
                  <to>
                    <xdr:col>4</xdr:col>
                    <xdr:colOff>1250950</xdr:colOff>
                    <xdr:row>18</xdr:row>
                    <xdr:rowOff>190500</xdr:rowOff>
                  </to>
                </anchor>
              </controlPr>
            </control>
          </mc:Choice>
        </mc:AlternateContent>
        <mc:AlternateContent xmlns:mc="http://schemas.openxmlformats.org/markup-compatibility/2006">
          <mc:Choice Requires="x14">
            <control shapeId="10267" r:id="rId16" name="Check Box 27">
              <controlPr defaultSize="0" autoFill="0" autoLine="0" autoPict="0">
                <anchor moveWithCells="1">
                  <from>
                    <xdr:col>4</xdr:col>
                    <xdr:colOff>2095500</xdr:colOff>
                    <xdr:row>18</xdr:row>
                    <xdr:rowOff>19050</xdr:rowOff>
                  </from>
                  <to>
                    <xdr:col>4</xdr:col>
                    <xdr:colOff>2717800</xdr:colOff>
                    <xdr:row>18</xdr:row>
                    <xdr:rowOff>190500</xdr:rowOff>
                  </to>
                </anchor>
              </controlPr>
            </control>
          </mc:Choice>
        </mc:AlternateContent>
        <mc:AlternateContent xmlns:mc="http://schemas.openxmlformats.org/markup-compatibility/2006">
          <mc:Choice Requires="x14">
            <control shapeId="10268" r:id="rId17" name="Check Box 28">
              <controlPr defaultSize="0" autoFill="0" autoLine="0" autoPict="0">
                <anchor moveWithCells="1">
                  <from>
                    <xdr:col>4</xdr:col>
                    <xdr:colOff>628650</xdr:colOff>
                    <xdr:row>19</xdr:row>
                    <xdr:rowOff>19050</xdr:rowOff>
                  </from>
                  <to>
                    <xdr:col>4</xdr:col>
                    <xdr:colOff>1250950</xdr:colOff>
                    <xdr:row>19</xdr:row>
                    <xdr:rowOff>190500</xdr:rowOff>
                  </to>
                </anchor>
              </controlPr>
            </control>
          </mc:Choice>
        </mc:AlternateContent>
        <mc:AlternateContent xmlns:mc="http://schemas.openxmlformats.org/markup-compatibility/2006">
          <mc:Choice Requires="x14">
            <control shapeId="10269" r:id="rId18" name="Check Box 29">
              <controlPr defaultSize="0" autoFill="0" autoLine="0" autoPict="0">
                <anchor moveWithCells="1">
                  <from>
                    <xdr:col>4</xdr:col>
                    <xdr:colOff>2095500</xdr:colOff>
                    <xdr:row>19</xdr:row>
                    <xdr:rowOff>19050</xdr:rowOff>
                  </from>
                  <to>
                    <xdr:col>4</xdr:col>
                    <xdr:colOff>2717800</xdr:colOff>
                    <xdr:row>19</xdr:row>
                    <xdr:rowOff>190500</xdr:rowOff>
                  </to>
                </anchor>
              </controlPr>
            </control>
          </mc:Choice>
        </mc:AlternateContent>
        <mc:AlternateContent xmlns:mc="http://schemas.openxmlformats.org/markup-compatibility/2006">
          <mc:Choice Requires="x14">
            <control shapeId="10270" r:id="rId19" name="Check Box 30">
              <controlPr defaultSize="0" autoFill="0" autoLine="0" autoPict="0">
                <anchor moveWithCells="1">
                  <from>
                    <xdr:col>4</xdr:col>
                    <xdr:colOff>628650</xdr:colOff>
                    <xdr:row>20</xdr:row>
                    <xdr:rowOff>19050</xdr:rowOff>
                  </from>
                  <to>
                    <xdr:col>4</xdr:col>
                    <xdr:colOff>1250950</xdr:colOff>
                    <xdr:row>20</xdr:row>
                    <xdr:rowOff>190500</xdr:rowOff>
                  </to>
                </anchor>
              </controlPr>
            </control>
          </mc:Choice>
        </mc:AlternateContent>
        <mc:AlternateContent xmlns:mc="http://schemas.openxmlformats.org/markup-compatibility/2006">
          <mc:Choice Requires="x14">
            <control shapeId="10271" r:id="rId20" name="Check Box 31">
              <controlPr defaultSize="0" autoFill="0" autoLine="0" autoPict="0">
                <anchor moveWithCells="1">
                  <from>
                    <xdr:col>4</xdr:col>
                    <xdr:colOff>2095500</xdr:colOff>
                    <xdr:row>20</xdr:row>
                    <xdr:rowOff>19050</xdr:rowOff>
                  </from>
                  <to>
                    <xdr:col>4</xdr:col>
                    <xdr:colOff>2717800</xdr:colOff>
                    <xdr:row>20</xdr:row>
                    <xdr:rowOff>190500</xdr:rowOff>
                  </to>
                </anchor>
              </controlPr>
            </control>
          </mc:Choice>
        </mc:AlternateContent>
        <mc:AlternateContent xmlns:mc="http://schemas.openxmlformats.org/markup-compatibility/2006">
          <mc:Choice Requires="x14">
            <control shapeId="10272" r:id="rId21" name="Check Box 32">
              <controlPr defaultSize="0" autoFill="0" autoLine="0" autoPict="0">
                <anchor moveWithCells="1">
                  <from>
                    <xdr:col>4</xdr:col>
                    <xdr:colOff>628650</xdr:colOff>
                    <xdr:row>21</xdr:row>
                    <xdr:rowOff>19050</xdr:rowOff>
                  </from>
                  <to>
                    <xdr:col>4</xdr:col>
                    <xdr:colOff>1250950</xdr:colOff>
                    <xdr:row>21</xdr:row>
                    <xdr:rowOff>190500</xdr:rowOff>
                  </to>
                </anchor>
              </controlPr>
            </control>
          </mc:Choice>
        </mc:AlternateContent>
        <mc:AlternateContent xmlns:mc="http://schemas.openxmlformats.org/markup-compatibility/2006">
          <mc:Choice Requires="x14">
            <control shapeId="10273" r:id="rId22" name="Check Box 33">
              <controlPr defaultSize="0" autoFill="0" autoLine="0" autoPict="0">
                <anchor moveWithCells="1">
                  <from>
                    <xdr:col>4</xdr:col>
                    <xdr:colOff>2095500</xdr:colOff>
                    <xdr:row>21</xdr:row>
                    <xdr:rowOff>19050</xdr:rowOff>
                  </from>
                  <to>
                    <xdr:col>4</xdr:col>
                    <xdr:colOff>2717800</xdr:colOff>
                    <xdr:row>21</xdr:row>
                    <xdr:rowOff>190500</xdr:rowOff>
                  </to>
                </anchor>
              </controlPr>
            </control>
          </mc:Choice>
        </mc:AlternateContent>
        <mc:AlternateContent xmlns:mc="http://schemas.openxmlformats.org/markup-compatibility/2006">
          <mc:Choice Requires="x14">
            <control shapeId="10274" r:id="rId23" name="Check Box 34">
              <controlPr defaultSize="0" autoFill="0" autoLine="0" autoPict="0">
                <anchor moveWithCells="1">
                  <from>
                    <xdr:col>4</xdr:col>
                    <xdr:colOff>628650</xdr:colOff>
                    <xdr:row>22</xdr:row>
                    <xdr:rowOff>19050</xdr:rowOff>
                  </from>
                  <to>
                    <xdr:col>4</xdr:col>
                    <xdr:colOff>1250950</xdr:colOff>
                    <xdr:row>22</xdr:row>
                    <xdr:rowOff>190500</xdr:rowOff>
                  </to>
                </anchor>
              </controlPr>
            </control>
          </mc:Choice>
        </mc:AlternateContent>
        <mc:AlternateContent xmlns:mc="http://schemas.openxmlformats.org/markup-compatibility/2006">
          <mc:Choice Requires="x14">
            <control shapeId="10275" r:id="rId24" name="Check Box 35">
              <controlPr defaultSize="0" autoFill="0" autoLine="0" autoPict="0">
                <anchor moveWithCells="1">
                  <from>
                    <xdr:col>4</xdr:col>
                    <xdr:colOff>2095500</xdr:colOff>
                    <xdr:row>22</xdr:row>
                    <xdr:rowOff>19050</xdr:rowOff>
                  </from>
                  <to>
                    <xdr:col>4</xdr:col>
                    <xdr:colOff>2717800</xdr:colOff>
                    <xdr:row>22</xdr:row>
                    <xdr:rowOff>190500</xdr:rowOff>
                  </to>
                </anchor>
              </controlPr>
            </control>
          </mc:Choice>
        </mc:AlternateContent>
        <mc:AlternateContent xmlns:mc="http://schemas.openxmlformats.org/markup-compatibility/2006">
          <mc:Choice Requires="x14">
            <control shapeId="10276" r:id="rId25" name="Check Box 36">
              <controlPr defaultSize="0" autoFill="0" autoLine="0" autoPict="0">
                <anchor moveWithCells="1">
                  <from>
                    <xdr:col>1</xdr:col>
                    <xdr:colOff>412750</xdr:colOff>
                    <xdr:row>25</xdr:row>
                    <xdr:rowOff>190500</xdr:rowOff>
                  </from>
                  <to>
                    <xdr:col>1</xdr:col>
                    <xdr:colOff>1028700</xdr:colOff>
                    <xdr:row>27</xdr:row>
                    <xdr:rowOff>0</xdr:rowOff>
                  </to>
                </anchor>
              </controlPr>
            </control>
          </mc:Choice>
        </mc:AlternateContent>
        <mc:AlternateContent xmlns:mc="http://schemas.openxmlformats.org/markup-compatibility/2006">
          <mc:Choice Requires="x14">
            <control shapeId="10277" r:id="rId26" name="Check Box 37">
              <controlPr defaultSize="0" autoFill="0" autoLine="0" autoPict="0">
                <anchor moveWithCells="1">
                  <from>
                    <xdr:col>2</xdr:col>
                    <xdr:colOff>1104900</xdr:colOff>
                    <xdr:row>25</xdr:row>
                    <xdr:rowOff>203200</xdr:rowOff>
                  </from>
                  <to>
                    <xdr:col>3</xdr:col>
                    <xdr:colOff>355600</xdr:colOff>
                    <xdr:row>27</xdr:row>
                    <xdr:rowOff>0</xdr:rowOff>
                  </to>
                </anchor>
              </controlPr>
            </control>
          </mc:Choice>
        </mc:AlternateContent>
        <mc:AlternateContent xmlns:mc="http://schemas.openxmlformats.org/markup-compatibility/2006">
          <mc:Choice Requires="x14">
            <control shapeId="10278" r:id="rId27" name="Check Box 38">
              <controlPr defaultSize="0" autoFill="0" autoLine="0" autoPict="0">
                <anchor moveWithCells="1">
                  <from>
                    <xdr:col>1</xdr:col>
                    <xdr:colOff>412750</xdr:colOff>
                    <xdr:row>26</xdr:row>
                    <xdr:rowOff>171450</xdr:rowOff>
                  </from>
                  <to>
                    <xdr:col>1</xdr:col>
                    <xdr:colOff>1028700</xdr:colOff>
                    <xdr:row>27</xdr:row>
                    <xdr:rowOff>190500</xdr:rowOff>
                  </to>
                </anchor>
              </controlPr>
            </control>
          </mc:Choice>
        </mc:AlternateContent>
        <mc:AlternateContent xmlns:mc="http://schemas.openxmlformats.org/markup-compatibility/2006">
          <mc:Choice Requires="x14">
            <control shapeId="10279" r:id="rId28" name="Check Box 39">
              <controlPr defaultSize="0" autoFill="0" autoLine="0" autoPict="0">
                <anchor moveWithCells="1">
                  <from>
                    <xdr:col>2</xdr:col>
                    <xdr:colOff>1104900</xdr:colOff>
                    <xdr:row>26</xdr:row>
                    <xdr:rowOff>171450</xdr:rowOff>
                  </from>
                  <to>
                    <xdr:col>2</xdr:col>
                    <xdr:colOff>1727200</xdr:colOff>
                    <xdr:row>27</xdr:row>
                    <xdr:rowOff>190500</xdr:rowOff>
                  </to>
                </anchor>
              </controlPr>
            </control>
          </mc:Choice>
        </mc:AlternateContent>
        <mc:AlternateContent xmlns:mc="http://schemas.openxmlformats.org/markup-compatibility/2006">
          <mc:Choice Requires="x14">
            <control shapeId="10280" r:id="rId29" name="Check Box 40">
              <controlPr defaultSize="0" autoFill="0" autoLine="0" autoPict="0">
                <anchor moveWithCells="1">
                  <from>
                    <xdr:col>1</xdr:col>
                    <xdr:colOff>412750</xdr:colOff>
                    <xdr:row>27</xdr:row>
                    <xdr:rowOff>190500</xdr:rowOff>
                  </from>
                  <to>
                    <xdr:col>2</xdr:col>
                    <xdr:colOff>742950</xdr:colOff>
                    <xdr:row>29</xdr:row>
                    <xdr:rowOff>0</xdr:rowOff>
                  </to>
                </anchor>
              </controlPr>
            </control>
          </mc:Choice>
        </mc:AlternateContent>
        <mc:AlternateContent xmlns:mc="http://schemas.openxmlformats.org/markup-compatibility/2006">
          <mc:Choice Requires="x14">
            <control shapeId="10284" r:id="rId30" name="Check Box 44">
              <controlPr defaultSize="0" autoFill="0" autoLine="0" autoPict="0">
                <anchor moveWithCells="1">
                  <from>
                    <xdr:col>3</xdr:col>
                    <xdr:colOff>927100</xdr:colOff>
                    <xdr:row>26</xdr:row>
                    <xdr:rowOff>171450</xdr:rowOff>
                  </from>
                  <to>
                    <xdr:col>4</xdr:col>
                    <xdr:colOff>850900</xdr:colOff>
                    <xdr:row>27</xdr:row>
                    <xdr:rowOff>190500</xdr:rowOff>
                  </to>
                </anchor>
              </controlPr>
            </control>
          </mc:Choice>
        </mc:AlternateContent>
        <mc:AlternateContent xmlns:mc="http://schemas.openxmlformats.org/markup-compatibility/2006">
          <mc:Choice Requires="x14">
            <control shapeId="10291" r:id="rId31" name="Check Box 51">
              <controlPr defaultSize="0" autoFill="0" autoLine="0" autoPict="0">
                <anchor moveWithCells="1">
                  <from>
                    <xdr:col>2</xdr:col>
                    <xdr:colOff>1104900</xdr:colOff>
                    <xdr:row>27</xdr:row>
                    <xdr:rowOff>190500</xdr:rowOff>
                  </from>
                  <to>
                    <xdr:col>3</xdr:col>
                    <xdr:colOff>495300</xdr:colOff>
                    <xdr:row>29</xdr:row>
                    <xdr:rowOff>0</xdr:rowOff>
                  </to>
                </anchor>
              </controlPr>
            </control>
          </mc:Choice>
        </mc:AlternateContent>
        <mc:AlternateContent xmlns:mc="http://schemas.openxmlformats.org/markup-compatibility/2006">
          <mc:Choice Requires="x14">
            <control shapeId="10292" r:id="rId32" name="Check Box 52">
              <controlPr defaultSize="0" autoFill="0" autoLine="0" autoPict="0">
                <anchor moveWithCells="1">
                  <from>
                    <xdr:col>3</xdr:col>
                    <xdr:colOff>927100</xdr:colOff>
                    <xdr:row>28</xdr:row>
                    <xdr:rowOff>0</xdr:rowOff>
                  </from>
                  <to>
                    <xdr:col>4</xdr:col>
                    <xdr:colOff>1638300</xdr:colOff>
                    <xdr:row>29</xdr:row>
                    <xdr:rowOff>0</xdr:rowOff>
                  </to>
                </anchor>
              </controlPr>
            </control>
          </mc:Choice>
        </mc:AlternateContent>
        <mc:AlternateContent xmlns:mc="http://schemas.openxmlformats.org/markup-compatibility/2006">
          <mc:Choice Requires="x14">
            <control shapeId="10293" r:id="rId33" name="Check Box 53">
              <controlPr defaultSize="0" autoFill="0" autoLine="0" autoPict="0">
                <anchor moveWithCells="1">
                  <from>
                    <xdr:col>4</xdr:col>
                    <xdr:colOff>2000250</xdr:colOff>
                    <xdr:row>28</xdr:row>
                    <xdr:rowOff>0</xdr:rowOff>
                  </from>
                  <to>
                    <xdr:col>4</xdr:col>
                    <xdr:colOff>3314700</xdr:colOff>
                    <xdr:row>29</xdr:row>
                    <xdr:rowOff>0</xdr:rowOff>
                  </to>
                </anchor>
              </controlPr>
            </control>
          </mc:Choice>
        </mc:AlternateContent>
        <mc:AlternateContent xmlns:mc="http://schemas.openxmlformats.org/markup-compatibility/2006">
          <mc:Choice Requires="x14">
            <control shapeId="10294" r:id="rId34" name="Check Box 54">
              <controlPr defaultSize="0" autoFill="0" autoLine="0" autoPict="0">
                <anchor moveWithCells="1">
                  <from>
                    <xdr:col>1</xdr:col>
                    <xdr:colOff>412750</xdr:colOff>
                    <xdr:row>32</xdr:row>
                    <xdr:rowOff>203200</xdr:rowOff>
                  </from>
                  <to>
                    <xdr:col>1</xdr:col>
                    <xdr:colOff>1028700</xdr:colOff>
                    <xdr:row>34</xdr:row>
                    <xdr:rowOff>0</xdr:rowOff>
                  </to>
                </anchor>
              </controlPr>
            </control>
          </mc:Choice>
        </mc:AlternateContent>
        <mc:AlternateContent xmlns:mc="http://schemas.openxmlformats.org/markup-compatibility/2006">
          <mc:Choice Requires="x14">
            <control shapeId="10295" r:id="rId35" name="Check Box 55">
              <controlPr defaultSize="0" autoFill="0" autoLine="0" autoPict="0">
                <anchor moveWithCells="1">
                  <from>
                    <xdr:col>2</xdr:col>
                    <xdr:colOff>1104900</xdr:colOff>
                    <xdr:row>32</xdr:row>
                    <xdr:rowOff>203200</xdr:rowOff>
                  </from>
                  <to>
                    <xdr:col>3</xdr:col>
                    <xdr:colOff>355600</xdr:colOff>
                    <xdr:row>34</xdr:row>
                    <xdr:rowOff>0</xdr:rowOff>
                  </to>
                </anchor>
              </controlPr>
            </control>
          </mc:Choice>
        </mc:AlternateContent>
        <mc:AlternateContent xmlns:mc="http://schemas.openxmlformats.org/markup-compatibility/2006">
          <mc:Choice Requires="x14">
            <control shapeId="10296" r:id="rId36" name="Check Box 56">
              <controlPr defaultSize="0" autoFill="0" autoLine="0" autoPict="0">
                <anchor moveWithCells="1">
                  <from>
                    <xdr:col>1</xdr:col>
                    <xdr:colOff>412750</xdr:colOff>
                    <xdr:row>34</xdr:row>
                    <xdr:rowOff>19050</xdr:rowOff>
                  </from>
                  <to>
                    <xdr:col>1</xdr:col>
                    <xdr:colOff>1028700</xdr:colOff>
                    <xdr:row>35</xdr:row>
                    <xdr:rowOff>0</xdr:rowOff>
                  </to>
                </anchor>
              </controlPr>
            </control>
          </mc:Choice>
        </mc:AlternateContent>
        <mc:AlternateContent xmlns:mc="http://schemas.openxmlformats.org/markup-compatibility/2006">
          <mc:Choice Requires="x14">
            <control shapeId="10297" r:id="rId37" name="Check Box 57">
              <controlPr defaultSize="0" autoFill="0" autoLine="0" autoPict="0">
                <anchor moveWithCells="1">
                  <from>
                    <xdr:col>2</xdr:col>
                    <xdr:colOff>1104900</xdr:colOff>
                    <xdr:row>34</xdr:row>
                    <xdr:rowOff>19050</xdr:rowOff>
                  </from>
                  <to>
                    <xdr:col>2</xdr:col>
                    <xdr:colOff>1727200</xdr:colOff>
                    <xdr:row>35</xdr:row>
                    <xdr:rowOff>0</xdr:rowOff>
                  </to>
                </anchor>
              </controlPr>
            </control>
          </mc:Choice>
        </mc:AlternateContent>
        <mc:AlternateContent xmlns:mc="http://schemas.openxmlformats.org/markup-compatibility/2006">
          <mc:Choice Requires="x14">
            <control shapeId="10298" r:id="rId38" name="Check Box 58">
              <controlPr defaultSize="0" autoFill="0" autoLine="0" autoPict="0">
                <anchor moveWithCells="1">
                  <from>
                    <xdr:col>1</xdr:col>
                    <xdr:colOff>412750</xdr:colOff>
                    <xdr:row>35</xdr:row>
                    <xdr:rowOff>0</xdr:rowOff>
                  </from>
                  <to>
                    <xdr:col>2</xdr:col>
                    <xdr:colOff>742950</xdr:colOff>
                    <xdr:row>36</xdr:row>
                    <xdr:rowOff>0</xdr:rowOff>
                  </to>
                </anchor>
              </controlPr>
            </control>
          </mc:Choice>
        </mc:AlternateContent>
        <mc:AlternateContent xmlns:mc="http://schemas.openxmlformats.org/markup-compatibility/2006">
          <mc:Choice Requires="x14">
            <control shapeId="10299" r:id="rId39" name="Check Box 59">
              <controlPr defaultSize="0" autoFill="0" autoLine="0" autoPict="0">
                <anchor moveWithCells="1">
                  <from>
                    <xdr:col>3</xdr:col>
                    <xdr:colOff>927100</xdr:colOff>
                    <xdr:row>34</xdr:row>
                    <xdr:rowOff>19050</xdr:rowOff>
                  </from>
                  <to>
                    <xdr:col>4</xdr:col>
                    <xdr:colOff>850900</xdr:colOff>
                    <xdr:row>35</xdr:row>
                    <xdr:rowOff>0</xdr:rowOff>
                  </to>
                </anchor>
              </controlPr>
            </control>
          </mc:Choice>
        </mc:AlternateContent>
        <mc:AlternateContent xmlns:mc="http://schemas.openxmlformats.org/markup-compatibility/2006">
          <mc:Choice Requires="x14">
            <control shapeId="10300" r:id="rId40" name="Check Box 60">
              <controlPr defaultSize="0" autoFill="0" autoLine="0" autoPict="0">
                <anchor moveWithCells="1">
                  <from>
                    <xdr:col>2</xdr:col>
                    <xdr:colOff>1104900</xdr:colOff>
                    <xdr:row>35</xdr:row>
                    <xdr:rowOff>0</xdr:rowOff>
                  </from>
                  <to>
                    <xdr:col>3</xdr:col>
                    <xdr:colOff>495300</xdr:colOff>
                    <xdr:row>36</xdr:row>
                    <xdr:rowOff>0</xdr:rowOff>
                  </to>
                </anchor>
              </controlPr>
            </control>
          </mc:Choice>
        </mc:AlternateContent>
        <mc:AlternateContent xmlns:mc="http://schemas.openxmlformats.org/markup-compatibility/2006">
          <mc:Choice Requires="x14">
            <control shapeId="10301" r:id="rId41" name="Check Box 61">
              <controlPr defaultSize="0" autoFill="0" autoLine="0" autoPict="0">
                <anchor moveWithCells="1">
                  <from>
                    <xdr:col>3</xdr:col>
                    <xdr:colOff>927100</xdr:colOff>
                    <xdr:row>35</xdr:row>
                    <xdr:rowOff>0</xdr:rowOff>
                  </from>
                  <to>
                    <xdr:col>4</xdr:col>
                    <xdr:colOff>1600200</xdr:colOff>
                    <xdr:row>36</xdr:row>
                    <xdr:rowOff>0</xdr:rowOff>
                  </to>
                </anchor>
              </controlPr>
            </control>
          </mc:Choice>
        </mc:AlternateContent>
        <mc:AlternateContent xmlns:mc="http://schemas.openxmlformats.org/markup-compatibility/2006">
          <mc:Choice Requires="x14">
            <control shapeId="10302" r:id="rId42" name="Check Box 62">
              <controlPr defaultSize="0" autoFill="0" autoLine="0" autoPict="0">
                <anchor moveWithCells="1">
                  <from>
                    <xdr:col>4</xdr:col>
                    <xdr:colOff>2000250</xdr:colOff>
                    <xdr:row>35</xdr:row>
                    <xdr:rowOff>0</xdr:rowOff>
                  </from>
                  <to>
                    <xdr:col>4</xdr:col>
                    <xdr:colOff>3314700</xdr:colOff>
                    <xdr:row>36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text="！" id="{3B8517B6-33CD-49FC-BA59-4092845C186E}">
            <xm:f>NOT(ISERROR(SEARCH("！",監視サービス登録書!I38)))</xm:f>
            <x14:dxf>
              <font>
                <color theme="0"/>
              </font>
              <fill>
                <patternFill>
                  <bgColor rgb="FFFF0000"/>
                </patternFill>
              </fill>
            </x14:dxf>
          </x14:cfRule>
          <xm:sqref>F41:F42</xm:sqref>
        </x14:conditionalFormatting>
        <x14:conditionalFormatting xmlns:xm="http://schemas.microsoft.com/office/excel/2006/main">
          <x14:cfRule type="containsText" priority="3" operator="containsText" text="必須" id="{65287E38-7E88-4F0C-9433-9D1BE021F8DB}">
            <xm:f>NOT(ISERROR(SEARCH("必須",監視サービス登録書!I38)))</xm:f>
            <x14:dxf>
              <font>
                <color rgb="FFFF0000"/>
              </font>
            </x14:dxf>
          </x14:cfRule>
          <xm:sqref>F41:F42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2:AD127"/>
  <sheetViews>
    <sheetView view="pageBreakPreview" zoomScaleNormal="85" zoomScaleSheetLayoutView="100" workbookViewId="0"/>
  </sheetViews>
  <sheetFormatPr defaultColWidth="9" defaultRowHeight="13"/>
  <cols>
    <col min="1" max="1" width="3.6328125" style="3" customWidth="1"/>
    <col min="2" max="2" width="16.90625" style="3" customWidth="1"/>
    <col min="3" max="3" width="29.6328125" style="3" customWidth="1"/>
    <col min="4" max="4" width="12.26953125" style="3" customWidth="1"/>
    <col min="5" max="5" width="51.08984375" style="3" customWidth="1"/>
    <col min="6" max="6" width="37.6328125" style="3" customWidth="1"/>
    <col min="7" max="8" width="25.6328125" style="3" customWidth="1"/>
    <col min="9" max="16384" width="9" style="3"/>
  </cols>
  <sheetData>
    <row r="2" spans="3:7" ht="13.5" thickBot="1"/>
    <row r="3" spans="3:7" ht="13.5" customHeight="1">
      <c r="C3" s="497" t="s">
        <v>745</v>
      </c>
      <c r="D3" s="498"/>
      <c r="E3" s="498"/>
      <c r="F3" s="498"/>
      <c r="G3" s="499"/>
    </row>
    <row r="4" spans="3:7" ht="13.5" customHeight="1">
      <c r="C4" s="500"/>
      <c r="D4" s="501"/>
      <c r="E4" s="501"/>
      <c r="F4" s="501"/>
      <c r="G4" s="502"/>
    </row>
    <row r="5" spans="3:7" ht="13.5" customHeight="1">
      <c r="C5" s="500"/>
      <c r="D5" s="501"/>
      <c r="E5" s="501"/>
      <c r="F5" s="501"/>
      <c r="G5" s="502"/>
    </row>
    <row r="6" spans="3:7" ht="13.5" customHeight="1">
      <c r="C6" s="500"/>
      <c r="D6" s="501"/>
      <c r="E6" s="501"/>
      <c r="F6" s="501"/>
      <c r="G6" s="502"/>
    </row>
    <row r="7" spans="3:7" ht="13.5" customHeight="1">
      <c r="C7" s="500"/>
      <c r="D7" s="501"/>
      <c r="E7" s="501"/>
      <c r="F7" s="501"/>
      <c r="G7" s="502"/>
    </row>
    <row r="8" spans="3:7" ht="13.5" customHeight="1">
      <c r="C8" s="500"/>
      <c r="D8" s="501"/>
      <c r="E8" s="501"/>
      <c r="F8" s="501"/>
      <c r="G8" s="502"/>
    </row>
    <row r="9" spans="3:7" ht="13.5" customHeight="1">
      <c r="C9" s="500"/>
      <c r="D9" s="501"/>
      <c r="E9" s="501"/>
      <c r="F9" s="501"/>
      <c r="G9" s="502"/>
    </row>
    <row r="10" spans="3:7" ht="13.5" customHeight="1">
      <c r="C10" s="500"/>
      <c r="D10" s="501"/>
      <c r="E10" s="501"/>
      <c r="F10" s="501"/>
      <c r="G10" s="502"/>
    </row>
    <row r="11" spans="3:7" ht="13.5" customHeight="1">
      <c r="C11" s="500"/>
      <c r="D11" s="501"/>
      <c r="E11" s="501"/>
      <c r="F11" s="501"/>
      <c r="G11" s="502"/>
    </row>
    <row r="12" spans="3:7" ht="13.5" customHeight="1">
      <c r="C12" s="500"/>
      <c r="D12" s="501"/>
      <c r="E12" s="501"/>
      <c r="F12" s="501"/>
      <c r="G12" s="502"/>
    </row>
    <row r="13" spans="3:7" ht="13.5" customHeight="1">
      <c r="C13" s="500"/>
      <c r="D13" s="501"/>
      <c r="E13" s="501"/>
      <c r="F13" s="501"/>
      <c r="G13" s="502"/>
    </row>
    <row r="14" spans="3:7" ht="13.5" customHeight="1">
      <c r="C14" s="500"/>
      <c r="D14" s="501"/>
      <c r="E14" s="501"/>
      <c r="F14" s="501"/>
      <c r="G14" s="502"/>
    </row>
    <row r="15" spans="3:7" ht="13.5" customHeight="1">
      <c r="C15" s="500"/>
      <c r="D15" s="501"/>
      <c r="E15" s="501"/>
      <c r="F15" s="501"/>
      <c r="G15" s="502"/>
    </row>
    <row r="16" spans="3:7" ht="13.5" customHeight="1">
      <c r="C16" s="500"/>
      <c r="D16" s="501"/>
      <c r="E16" s="501"/>
      <c r="F16" s="501"/>
      <c r="G16" s="502"/>
    </row>
    <row r="17" spans="3:7" ht="13.5" customHeight="1">
      <c r="C17" s="500"/>
      <c r="D17" s="501"/>
      <c r="E17" s="501"/>
      <c r="F17" s="501"/>
      <c r="G17" s="502"/>
    </row>
    <row r="18" spans="3:7" ht="13.5" customHeight="1">
      <c r="C18" s="500"/>
      <c r="D18" s="501"/>
      <c r="E18" s="501"/>
      <c r="F18" s="501"/>
      <c r="G18" s="502"/>
    </row>
    <row r="19" spans="3:7" ht="13.5" customHeight="1">
      <c r="C19" s="500"/>
      <c r="D19" s="501"/>
      <c r="E19" s="501"/>
      <c r="F19" s="501"/>
      <c r="G19" s="502"/>
    </row>
    <row r="20" spans="3:7" ht="13.5" customHeight="1">
      <c r="C20" s="500"/>
      <c r="D20" s="501"/>
      <c r="E20" s="501"/>
      <c r="F20" s="501"/>
      <c r="G20" s="502"/>
    </row>
    <row r="21" spans="3:7" ht="13.5" customHeight="1">
      <c r="C21" s="500"/>
      <c r="D21" s="501"/>
      <c r="E21" s="501"/>
      <c r="F21" s="501"/>
      <c r="G21" s="502"/>
    </row>
    <row r="22" spans="3:7" ht="13.5" customHeight="1">
      <c r="C22" s="500"/>
      <c r="D22" s="501"/>
      <c r="E22" s="501"/>
      <c r="F22" s="501"/>
      <c r="G22" s="502"/>
    </row>
    <row r="23" spans="3:7" ht="13.5" customHeight="1">
      <c r="C23" s="500"/>
      <c r="D23" s="501"/>
      <c r="E23" s="501"/>
      <c r="F23" s="501"/>
      <c r="G23" s="502"/>
    </row>
    <row r="24" spans="3:7" ht="13.5" customHeight="1">
      <c r="C24" s="500"/>
      <c r="D24" s="501"/>
      <c r="E24" s="501"/>
      <c r="F24" s="501"/>
      <c r="G24" s="502"/>
    </row>
    <row r="25" spans="3:7" ht="13.5" customHeight="1">
      <c r="C25" s="500"/>
      <c r="D25" s="501"/>
      <c r="E25" s="501"/>
      <c r="F25" s="501"/>
      <c r="G25" s="502"/>
    </row>
    <row r="26" spans="3:7" ht="13.5" customHeight="1">
      <c r="C26" s="500"/>
      <c r="D26" s="501"/>
      <c r="E26" s="501"/>
      <c r="F26" s="501"/>
      <c r="G26" s="502"/>
    </row>
    <row r="27" spans="3:7" ht="13.5" customHeight="1">
      <c r="C27" s="500"/>
      <c r="D27" s="501"/>
      <c r="E27" s="501"/>
      <c r="F27" s="501"/>
      <c r="G27" s="502"/>
    </row>
    <row r="28" spans="3:7" ht="13.5" customHeight="1">
      <c r="C28" s="500"/>
      <c r="D28" s="501"/>
      <c r="E28" s="501"/>
      <c r="F28" s="501"/>
      <c r="G28" s="502"/>
    </row>
    <row r="29" spans="3:7" ht="13.5" customHeight="1">
      <c r="C29" s="500"/>
      <c r="D29" s="501"/>
      <c r="E29" s="501"/>
      <c r="F29" s="501"/>
      <c r="G29" s="502"/>
    </row>
    <row r="30" spans="3:7" ht="13.5" customHeight="1">
      <c r="C30" s="500"/>
      <c r="D30" s="501"/>
      <c r="E30" s="501"/>
      <c r="F30" s="501"/>
      <c r="G30" s="502"/>
    </row>
    <row r="31" spans="3:7" ht="13.5" customHeight="1">
      <c r="C31" s="500"/>
      <c r="D31" s="501"/>
      <c r="E31" s="501"/>
      <c r="F31" s="501"/>
      <c r="G31" s="502"/>
    </row>
    <row r="32" spans="3:7" ht="13.5" customHeight="1">
      <c r="C32" s="500"/>
      <c r="D32" s="501"/>
      <c r="E32" s="501"/>
      <c r="F32" s="501"/>
      <c r="G32" s="502"/>
    </row>
    <row r="33" spans="1:8" ht="13.5" customHeight="1">
      <c r="C33" s="500"/>
      <c r="D33" s="501"/>
      <c r="E33" s="501"/>
      <c r="F33" s="501"/>
      <c r="G33" s="502"/>
    </row>
    <row r="34" spans="1:8" ht="13.5" customHeight="1">
      <c r="C34" s="500"/>
      <c r="D34" s="501"/>
      <c r="E34" s="501"/>
      <c r="F34" s="501"/>
      <c r="G34" s="502"/>
    </row>
    <row r="35" spans="1:8" ht="13.5" customHeight="1">
      <c r="C35" s="500"/>
      <c r="D35" s="501"/>
      <c r="E35" s="501"/>
      <c r="F35" s="501"/>
      <c r="G35" s="502"/>
    </row>
    <row r="36" spans="1:8" ht="13.5" customHeight="1">
      <c r="C36" s="500"/>
      <c r="D36" s="501"/>
      <c r="E36" s="501"/>
      <c r="F36" s="501"/>
      <c r="G36" s="502"/>
    </row>
    <row r="37" spans="1:8" ht="13.5" customHeight="1">
      <c r="C37" s="500"/>
      <c r="D37" s="501"/>
      <c r="E37" s="501"/>
      <c r="F37" s="501"/>
      <c r="G37" s="502"/>
    </row>
    <row r="38" spans="1:8" ht="13.5" customHeight="1">
      <c r="C38" s="500"/>
      <c r="D38" s="501"/>
      <c r="E38" s="501"/>
      <c r="F38" s="501"/>
      <c r="G38" s="502"/>
    </row>
    <row r="39" spans="1:8" ht="13.5" customHeight="1">
      <c r="C39" s="500"/>
      <c r="D39" s="501"/>
      <c r="E39" s="501"/>
      <c r="F39" s="501"/>
      <c r="G39" s="502"/>
    </row>
    <row r="40" spans="1:8" ht="14.25" customHeight="1" thickBot="1">
      <c r="C40" s="503"/>
      <c r="D40" s="504"/>
      <c r="E40" s="504"/>
      <c r="F40" s="504"/>
      <c r="G40" s="505"/>
    </row>
    <row r="43" spans="1:8" ht="15">
      <c r="A43" s="2" t="s">
        <v>24</v>
      </c>
      <c r="B43" s="2"/>
      <c r="C43" s="2"/>
      <c r="D43" s="2"/>
      <c r="E43" s="2"/>
      <c r="F43" s="2"/>
      <c r="G43" s="2"/>
      <c r="H43" s="2"/>
    </row>
    <row r="44" spans="1:8" ht="22">
      <c r="A44" s="4" t="s">
        <v>25</v>
      </c>
      <c r="B44" s="5"/>
      <c r="C44" s="5"/>
      <c r="D44" s="5"/>
      <c r="E44" s="6"/>
      <c r="F44" s="2"/>
      <c r="G44" s="2"/>
      <c r="H44" s="7" t="s">
        <v>26</v>
      </c>
    </row>
    <row r="45" spans="1:8" ht="15">
      <c r="A45" s="2"/>
      <c r="B45" s="2"/>
      <c r="C45" s="2"/>
      <c r="D45" s="2"/>
      <c r="E45" s="2"/>
      <c r="F45" s="2"/>
      <c r="G45" s="2"/>
      <c r="H45" s="7" t="s">
        <v>27</v>
      </c>
    </row>
    <row r="46" spans="1:8" ht="15">
      <c r="A46" s="2"/>
      <c r="B46" s="2" t="s">
        <v>741</v>
      </c>
      <c r="C46" s="2"/>
      <c r="D46" s="2"/>
      <c r="E46" s="2"/>
      <c r="F46" s="2"/>
      <c r="G46" s="2"/>
      <c r="H46" s="7" t="s">
        <v>28</v>
      </c>
    </row>
    <row r="47" spans="1:8" ht="15">
      <c r="B47" s="150" t="s">
        <v>742</v>
      </c>
      <c r="H47" s="7" t="s">
        <v>29</v>
      </c>
    </row>
    <row r="48" spans="1:8" ht="15">
      <c r="B48" s="150" t="s">
        <v>737</v>
      </c>
      <c r="H48" s="7"/>
    </row>
    <row r="50" spans="1:8" ht="15">
      <c r="A50" s="2" t="s">
        <v>30</v>
      </c>
      <c r="B50" s="2"/>
      <c r="C50" s="2"/>
      <c r="D50" s="2"/>
      <c r="E50" s="2"/>
    </row>
    <row r="51" spans="1:8" ht="15">
      <c r="A51" s="9" t="s">
        <v>31</v>
      </c>
      <c r="B51" s="10"/>
      <c r="C51" s="10"/>
      <c r="D51" s="11"/>
      <c r="E51" s="12">
        <f>監視サービス登録書!C16</f>
        <v>0</v>
      </c>
    </row>
    <row r="52" spans="1:8" ht="15">
      <c r="A52" s="9" t="s">
        <v>32</v>
      </c>
      <c r="B52" s="10"/>
      <c r="C52" s="10"/>
      <c r="D52" s="11"/>
      <c r="E52" s="12">
        <f>監視サービス登録書!C14</f>
        <v>0</v>
      </c>
    </row>
    <row r="53" spans="1:8" ht="15">
      <c r="A53" s="2"/>
      <c r="B53" s="2"/>
      <c r="C53" s="2"/>
      <c r="D53" s="2"/>
      <c r="E53" s="2"/>
    </row>
    <row r="54" spans="1:8" ht="15.5" thickBot="1">
      <c r="A54" s="2" t="s">
        <v>33</v>
      </c>
      <c r="B54" s="2"/>
      <c r="C54" s="2"/>
      <c r="D54" s="2"/>
      <c r="E54" s="2"/>
    </row>
    <row r="55" spans="1:8" ht="45" customHeight="1" thickBot="1">
      <c r="A55" s="472" t="s">
        <v>731</v>
      </c>
      <c r="B55" s="473"/>
      <c r="C55" s="473"/>
      <c r="D55" s="473"/>
      <c r="E55" s="120"/>
    </row>
    <row r="57" spans="1:8" ht="15">
      <c r="A57" s="2" t="s">
        <v>34</v>
      </c>
      <c r="B57" s="2"/>
      <c r="C57" s="2"/>
      <c r="D57" s="2"/>
      <c r="E57" s="2"/>
      <c r="F57" s="2"/>
      <c r="G57" s="2"/>
      <c r="H57" s="2"/>
    </row>
    <row r="58" spans="1:8" ht="15.5" thickBot="1">
      <c r="A58" s="157" t="s">
        <v>35</v>
      </c>
      <c r="B58" s="492" t="s">
        <v>36</v>
      </c>
      <c r="C58" s="496"/>
      <c r="D58" s="13" t="s">
        <v>37</v>
      </c>
      <c r="E58" s="14" t="s">
        <v>38</v>
      </c>
      <c r="F58" s="492" t="s">
        <v>39</v>
      </c>
      <c r="G58" s="495"/>
      <c r="H58" s="496"/>
    </row>
    <row r="59" spans="1:8" ht="15">
      <c r="A59" s="523">
        <v>1</v>
      </c>
      <c r="B59" s="524" t="s">
        <v>40</v>
      </c>
      <c r="C59" s="15" t="s">
        <v>41</v>
      </c>
      <c r="D59" s="16" t="s">
        <v>42</v>
      </c>
      <c r="E59" s="121"/>
      <c r="F59" s="465" t="s">
        <v>43</v>
      </c>
      <c r="G59" s="465"/>
      <c r="H59" s="514"/>
    </row>
    <row r="60" spans="1:8" ht="15">
      <c r="A60" s="511"/>
      <c r="B60" s="511"/>
      <c r="C60" s="15" t="s">
        <v>44</v>
      </c>
      <c r="D60" s="16" t="s">
        <v>45</v>
      </c>
      <c r="E60" s="122"/>
      <c r="F60" s="465" t="s">
        <v>43</v>
      </c>
      <c r="G60" s="465"/>
      <c r="H60" s="514"/>
    </row>
    <row r="61" spans="1:8" ht="15">
      <c r="A61" s="511"/>
      <c r="B61" s="511"/>
      <c r="C61" s="15" t="s">
        <v>46</v>
      </c>
      <c r="D61" s="16" t="s">
        <v>47</v>
      </c>
      <c r="E61" s="122"/>
      <c r="F61" s="465" t="s">
        <v>48</v>
      </c>
      <c r="G61" s="465"/>
      <c r="H61" s="514"/>
    </row>
    <row r="62" spans="1:8" ht="15.5" thickBot="1">
      <c r="A62" s="511"/>
      <c r="B62" s="511"/>
      <c r="C62" s="17" t="s">
        <v>49</v>
      </c>
      <c r="D62" s="18" t="s">
        <v>50</v>
      </c>
      <c r="E62" s="123"/>
      <c r="F62" s="515" t="s">
        <v>51</v>
      </c>
      <c r="G62" s="515"/>
      <c r="H62" s="516"/>
    </row>
    <row r="63" spans="1:8" ht="15.5" thickTop="1">
      <c r="A63" s="520">
        <v>2</v>
      </c>
      <c r="B63" s="506" t="s">
        <v>52</v>
      </c>
      <c r="C63" s="19" t="s">
        <v>53</v>
      </c>
      <c r="D63" s="20" t="s">
        <v>54</v>
      </c>
      <c r="E63" s="124"/>
      <c r="F63" s="512" t="s">
        <v>55</v>
      </c>
      <c r="G63" s="512"/>
      <c r="H63" s="513"/>
    </row>
    <row r="64" spans="1:8" ht="15">
      <c r="A64" s="511"/>
      <c r="B64" s="511"/>
      <c r="C64" s="15" t="s">
        <v>56</v>
      </c>
      <c r="D64" s="16" t="s">
        <v>54</v>
      </c>
      <c r="E64" s="122"/>
      <c r="F64" s="465" t="s">
        <v>57</v>
      </c>
      <c r="G64" s="465"/>
      <c r="H64" s="514"/>
    </row>
    <row r="65" spans="1:8" ht="15">
      <c r="A65" s="511"/>
      <c r="B65" s="511"/>
      <c r="C65" s="15" t="s">
        <v>6</v>
      </c>
      <c r="D65" s="16" t="s">
        <v>54</v>
      </c>
      <c r="E65" s="122"/>
      <c r="F65" s="465" t="s">
        <v>58</v>
      </c>
      <c r="G65" s="465"/>
      <c r="H65" s="514"/>
    </row>
    <row r="66" spans="1:8" ht="15">
      <c r="A66" s="511"/>
      <c r="B66" s="511"/>
      <c r="C66" s="15" t="s">
        <v>59</v>
      </c>
      <c r="D66" s="16" t="s">
        <v>54</v>
      </c>
      <c r="E66" s="122"/>
      <c r="F66" s="465" t="s">
        <v>60</v>
      </c>
      <c r="G66" s="465"/>
      <c r="H66" s="514"/>
    </row>
    <row r="67" spans="1:8" ht="15">
      <c r="A67" s="511"/>
      <c r="B67" s="511"/>
      <c r="C67" s="15" t="s">
        <v>61</v>
      </c>
      <c r="D67" s="16">
        <v>1111</v>
      </c>
      <c r="E67" s="122"/>
      <c r="F67" s="465" t="s">
        <v>62</v>
      </c>
      <c r="G67" s="465"/>
      <c r="H67" s="514"/>
    </row>
    <row r="68" spans="1:8" ht="15.5" thickBot="1">
      <c r="A68" s="507"/>
      <c r="B68" s="507"/>
      <c r="C68" s="21" t="s">
        <v>63</v>
      </c>
      <c r="D68" s="22">
        <v>2222</v>
      </c>
      <c r="E68" s="125"/>
      <c r="F68" s="515" t="s">
        <v>62</v>
      </c>
      <c r="G68" s="515"/>
      <c r="H68" s="516"/>
    </row>
    <row r="69" spans="1:8" s="2" customFormat="1" ht="15.5" thickTop="1">
      <c r="A69" s="521">
        <v>3</v>
      </c>
      <c r="B69" s="158" t="s">
        <v>124</v>
      </c>
      <c r="C69" s="159" t="s">
        <v>763</v>
      </c>
      <c r="D69" s="160" t="s">
        <v>765</v>
      </c>
      <c r="E69" s="161"/>
      <c r="F69" s="531" t="s">
        <v>767</v>
      </c>
      <c r="G69" s="532"/>
      <c r="H69" s="533"/>
    </row>
    <row r="70" spans="1:8" s="2" customFormat="1" ht="15.5" thickBot="1">
      <c r="A70" s="522"/>
      <c r="B70" s="158"/>
      <c r="C70" s="159"/>
      <c r="D70" s="160"/>
      <c r="E70" s="161" t="s">
        <v>766</v>
      </c>
      <c r="F70" s="534" t="s">
        <v>769</v>
      </c>
      <c r="G70" s="535"/>
      <c r="H70" s="536"/>
    </row>
    <row r="71" spans="1:8" ht="40" customHeight="1" thickTop="1" thickBot="1">
      <c r="A71" s="520">
        <v>4</v>
      </c>
      <c r="B71" s="506" t="s">
        <v>64</v>
      </c>
      <c r="C71" s="23" t="s">
        <v>65</v>
      </c>
      <c r="D71" s="24" t="s">
        <v>66</v>
      </c>
      <c r="E71" s="132" t="s">
        <v>698</v>
      </c>
      <c r="F71" s="508" t="s">
        <v>714</v>
      </c>
      <c r="G71" s="509"/>
      <c r="H71" s="510"/>
    </row>
    <row r="72" spans="1:8" ht="15.75" customHeight="1" thickBot="1">
      <c r="A72" s="507"/>
      <c r="B72" s="507"/>
      <c r="C72" s="25" t="s">
        <v>67</v>
      </c>
      <c r="D72" s="26" t="s">
        <v>54</v>
      </c>
      <c r="E72" s="42">
        <f>監視サービス登録書!C132</f>
        <v>0</v>
      </c>
      <c r="F72" s="528" t="s">
        <v>787</v>
      </c>
      <c r="G72" s="529"/>
      <c r="H72" s="530"/>
    </row>
    <row r="73" spans="1:8" ht="15.5" thickTop="1">
      <c r="A73" s="520">
        <v>5</v>
      </c>
      <c r="B73" s="506" t="s">
        <v>68</v>
      </c>
      <c r="C73" s="19" t="s">
        <v>69</v>
      </c>
      <c r="D73" s="20" t="s">
        <v>70</v>
      </c>
      <c r="E73" s="121"/>
      <c r="F73" s="512" t="s">
        <v>60</v>
      </c>
      <c r="G73" s="512"/>
      <c r="H73" s="513"/>
    </row>
    <row r="74" spans="1:8" ht="15">
      <c r="A74" s="511"/>
      <c r="B74" s="511"/>
      <c r="C74" s="15" t="s">
        <v>71</v>
      </c>
      <c r="D74" s="16" t="s">
        <v>70</v>
      </c>
      <c r="E74" s="122"/>
      <c r="F74" s="465"/>
      <c r="G74" s="465"/>
      <c r="H74" s="514"/>
    </row>
    <row r="75" spans="1:8" ht="15">
      <c r="A75" s="511"/>
      <c r="B75" s="511"/>
      <c r="C75" s="15" t="s">
        <v>72</v>
      </c>
      <c r="D75" s="16" t="s">
        <v>70</v>
      </c>
      <c r="E75" s="122"/>
      <c r="F75" s="465"/>
      <c r="G75" s="465"/>
      <c r="H75" s="514"/>
    </row>
    <row r="76" spans="1:8" ht="15">
      <c r="A76" s="511"/>
      <c r="B76" s="511"/>
      <c r="C76" s="15" t="s">
        <v>73</v>
      </c>
      <c r="D76" s="16" t="s">
        <v>70</v>
      </c>
      <c r="E76" s="122"/>
      <c r="F76" s="465"/>
      <c r="G76" s="465"/>
      <c r="H76" s="514"/>
    </row>
    <row r="77" spans="1:8" ht="15">
      <c r="A77" s="511"/>
      <c r="B77" s="511"/>
      <c r="C77" s="15" t="s">
        <v>74</v>
      </c>
      <c r="D77" s="16" t="s">
        <v>70</v>
      </c>
      <c r="E77" s="122"/>
      <c r="F77" s="465"/>
      <c r="G77" s="465"/>
      <c r="H77" s="514"/>
    </row>
    <row r="78" spans="1:8" ht="15">
      <c r="A78" s="511"/>
      <c r="B78" s="511"/>
      <c r="C78" s="15" t="s">
        <v>75</v>
      </c>
      <c r="D78" s="16" t="s">
        <v>70</v>
      </c>
      <c r="E78" s="122"/>
      <c r="F78" s="465"/>
      <c r="G78" s="465"/>
      <c r="H78" s="514"/>
    </row>
    <row r="79" spans="1:8" ht="15">
      <c r="A79" s="511"/>
      <c r="B79" s="511"/>
      <c r="C79" s="15" t="s">
        <v>76</v>
      </c>
      <c r="D79" s="16" t="s">
        <v>70</v>
      </c>
      <c r="E79" s="122"/>
      <c r="F79" s="465"/>
      <c r="G79" s="465"/>
      <c r="H79" s="514"/>
    </row>
    <row r="80" spans="1:8" ht="15">
      <c r="A80" s="511"/>
      <c r="B80" s="511"/>
      <c r="C80" s="15" t="s">
        <v>77</v>
      </c>
      <c r="D80" s="16" t="s">
        <v>70</v>
      </c>
      <c r="E80" s="122"/>
      <c r="F80" s="465"/>
      <c r="G80" s="465"/>
      <c r="H80" s="514"/>
    </row>
    <row r="81" spans="1:8" ht="15">
      <c r="A81" s="511"/>
      <c r="B81" s="511"/>
      <c r="C81" s="15" t="s">
        <v>78</v>
      </c>
      <c r="D81" s="16" t="s">
        <v>70</v>
      </c>
      <c r="E81" s="122"/>
      <c r="F81" s="465"/>
      <c r="G81" s="465"/>
      <c r="H81" s="514"/>
    </row>
    <row r="82" spans="1:8" ht="15">
      <c r="A82" s="511"/>
      <c r="B82" s="511"/>
      <c r="C82" s="15" t="s">
        <v>79</v>
      </c>
      <c r="D82" s="16" t="s">
        <v>70</v>
      </c>
      <c r="E82" s="122"/>
      <c r="F82" s="465"/>
      <c r="G82" s="465"/>
      <c r="H82" s="514"/>
    </row>
    <row r="83" spans="1:8" ht="15.5" thickBot="1">
      <c r="A83" s="507"/>
      <c r="B83" s="507"/>
      <c r="C83" s="21" t="s">
        <v>80</v>
      </c>
      <c r="D83" s="22">
        <v>7</v>
      </c>
      <c r="E83" s="125"/>
      <c r="F83" s="515" t="s">
        <v>81</v>
      </c>
      <c r="G83" s="515"/>
      <c r="H83" s="516"/>
    </row>
    <row r="84" spans="1:8" ht="15.5" thickTop="1">
      <c r="A84" s="520">
        <v>6</v>
      </c>
      <c r="B84" s="506" t="s">
        <v>82</v>
      </c>
      <c r="C84" s="19" t="s">
        <v>83</v>
      </c>
      <c r="D84" s="20" t="s">
        <v>84</v>
      </c>
      <c r="E84" s="124"/>
      <c r="F84" s="512" t="s">
        <v>85</v>
      </c>
      <c r="G84" s="512"/>
      <c r="H84" s="513"/>
    </row>
    <row r="85" spans="1:8" ht="15">
      <c r="A85" s="511"/>
      <c r="B85" s="511"/>
      <c r="C85" s="15" t="s">
        <v>86</v>
      </c>
      <c r="D85" s="16" t="s">
        <v>84</v>
      </c>
      <c r="E85" s="122"/>
      <c r="F85" s="465" t="s">
        <v>85</v>
      </c>
      <c r="G85" s="465"/>
      <c r="H85" s="514"/>
    </row>
    <row r="86" spans="1:8" ht="15">
      <c r="A86" s="511"/>
      <c r="B86" s="511"/>
      <c r="C86" s="15" t="s">
        <v>87</v>
      </c>
      <c r="D86" s="16" t="s">
        <v>84</v>
      </c>
      <c r="E86" s="122"/>
      <c r="F86" s="465" t="s">
        <v>85</v>
      </c>
      <c r="G86" s="465"/>
      <c r="H86" s="514"/>
    </row>
    <row r="87" spans="1:8" ht="15.5" thickBot="1">
      <c r="A87" s="507"/>
      <c r="B87" s="507"/>
      <c r="C87" s="21" t="s">
        <v>88</v>
      </c>
      <c r="D87" s="22" t="s">
        <v>84</v>
      </c>
      <c r="E87" s="125"/>
      <c r="F87" s="515" t="s">
        <v>85</v>
      </c>
      <c r="G87" s="515"/>
      <c r="H87" s="516"/>
    </row>
    <row r="88" spans="1:8" ht="31.5" customHeight="1" thickTop="1">
      <c r="A88" s="517">
        <v>7</v>
      </c>
      <c r="B88" s="519" t="s">
        <v>89</v>
      </c>
      <c r="C88" s="27" t="s">
        <v>90</v>
      </c>
      <c r="D88" s="28" t="s">
        <v>91</v>
      </c>
      <c r="E88" s="126"/>
      <c r="F88" s="540" t="s">
        <v>771</v>
      </c>
      <c r="G88" s="532"/>
      <c r="H88" s="541"/>
    </row>
    <row r="89" spans="1:8" ht="15">
      <c r="A89" s="511"/>
      <c r="B89" s="511"/>
      <c r="C89" s="29"/>
      <c r="D89" s="30"/>
      <c r="E89" s="127" t="s">
        <v>93</v>
      </c>
      <c r="F89" s="525" t="s">
        <v>772</v>
      </c>
      <c r="G89" s="526"/>
      <c r="H89" s="527"/>
    </row>
    <row r="90" spans="1:8" ht="15">
      <c r="A90" s="511"/>
      <c r="B90" s="511"/>
      <c r="C90" s="15" t="s">
        <v>95</v>
      </c>
      <c r="D90" s="16">
        <v>0</v>
      </c>
      <c r="E90" s="122"/>
      <c r="F90" s="465" t="s">
        <v>96</v>
      </c>
      <c r="G90" s="465"/>
      <c r="H90" s="514"/>
    </row>
    <row r="91" spans="1:8" ht="15.5" thickBot="1">
      <c r="A91" s="518"/>
      <c r="B91" s="518"/>
      <c r="C91" s="15" t="s">
        <v>97</v>
      </c>
      <c r="D91" s="16">
        <v>1</v>
      </c>
      <c r="E91" s="128"/>
      <c r="F91" s="465" t="s">
        <v>98</v>
      </c>
      <c r="G91" s="465"/>
      <c r="H91" s="514"/>
    </row>
    <row r="93" spans="1:8" ht="15">
      <c r="A93" s="2" t="s">
        <v>823</v>
      </c>
    </row>
    <row r="94" spans="1:8" ht="15.5" thickBot="1">
      <c r="A94" s="154" t="s">
        <v>35</v>
      </c>
      <c r="B94" s="480" t="s">
        <v>99</v>
      </c>
      <c r="C94" s="481"/>
      <c r="D94" s="481"/>
      <c r="E94" s="482"/>
      <c r="F94" s="492" t="s">
        <v>39</v>
      </c>
      <c r="G94" s="495"/>
      <c r="H94" s="493"/>
    </row>
    <row r="95" spans="1:8" ht="13.5">
      <c r="A95" s="155">
        <v>1</v>
      </c>
      <c r="B95" s="483"/>
      <c r="C95" s="484"/>
      <c r="D95" s="484"/>
      <c r="E95" s="485"/>
      <c r="F95" s="474" t="s">
        <v>748</v>
      </c>
      <c r="G95" s="537"/>
      <c r="H95" s="475"/>
    </row>
    <row r="96" spans="1:8" ht="15.75" customHeight="1">
      <c r="A96" s="156">
        <v>2</v>
      </c>
      <c r="B96" s="489" t="s">
        <v>749</v>
      </c>
      <c r="C96" s="490"/>
      <c r="D96" s="490"/>
      <c r="E96" s="491"/>
      <c r="F96" s="476"/>
      <c r="G96" s="538"/>
      <c r="H96" s="477"/>
    </row>
    <row r="97" spans="1:30" ht="14" thickBot="1">
      <c r="A97" s="156">
        <v>3</v>
      </c>
      <c r="B97" s="486" t="s">
        <v>842</v>
      </c>
      <c r="C97" s="487"/>
      <c r="D97" s="487"/>
      <c r="E97" s="488"/>
      <c r="F97" s="478"/>
      <c r="G97" s="539"/>
      <c r="H97" s="479"/>
    </row>
    <row r="98" spans="1:30" ht="13.5">
      <c r="B98" s="188" t="s">
        <v>843</v>
      </c>
    </row>
    <row r="100" spans="1:30" ht="15">
      <c r="A100" s="2" t="s">
        <v>824</v>
      </c>
    </row>
    <row r="101" spans="1:30" ht="15.5" thickBot="1">
      <c r="A101" s="182" t="s">
        <v>35</v>
      </c>
      <c r="B101" s="480" t="s">
        <v>99</v>
      </c>
      <c r="C101" s="481"/>
      <c r="D101" s="481"/>
      <c r="E101" s="482"/>
      <c r="F101" s="492" t="s">
        <v>39</v>
      </c>
      <c r="G101" s="495"/>
      <c r="H101" s="493"/>
    </row>
    <row r="102" spans="1:30" ht="13.5">
      <c r="A102" s="155">
        <v>1</v>
      </c>
      <c r="B102" s="483"/>
      <c r="C102" s="484"/>
      <c r="D102" s="484"/>
      <c r="E102" s="485"/>
      <c r="F102" s="474" t="s">
        <v>748</v>
      </c>
      <c r="G102" s="537"/>
      <c r="H102" s="475"/>
    </row>
    <row r="103" spans="1:30" ht="15.75" customHeight="1">
      <c r="A103" s="156">
        <v>2</v>
      </c>
      <c r="B103" s="489" t="s">
        <v>749</v>
      </c>
      <c r="C103" s="490"/>
      <c r="D103" s="490"/>
      <c r="E103" s="491"/>
      <c r="F103" s="476"/>
      <c r="G103" s="538"/>
      <c r="H103" s="477"/>
    </row>
    <row r="104" spans="1:30" ht="14" thickBot="1">
      <c r="A104" s="156">
        <v>3</v>
      </c>
      <c r="B104" s="486" t="s">
        <v>842</v>
      </c>
      <c r="C104" s="487"/>
      <c r="D104" s="487"/>
      <c r="E104" s="488"/>
      <c r="F104" s="478"/>
      <c r="G104" s="539"/>
      <c r="H104" s="479"/>
    </row>
    <row r="105" spans="1:30" ht="13.5">
      <c r="B105" s="188" t="s">
        <v>844</v>
      </c>
    </row>
    <row r="107" spans="1:30" ht="15">
      <c r="A107" s="2" t="s">
        <v>833</v>
      </c>
    </row>
    <row r="108" spans="1:30" ht="15.5" thickBot="1">
      <c r="A108" s="184" t="s">
        <v>35</v>
      </c>
      <c r="B108" s="461" t="s">
        <v>99</v>
      </c>
      <c r="C108" s="461"/>
      <c r="D108" s="461"/>
      <c r="E108" s="185" t="s">
        <v>834</v>
      </c>
      <c r="F108" s="492" t="s">
        <v>39</v>
      </c>
      <c r="G108" s="495"/>
      <c r="H108" s="496"/>
    </row>
    <row r="109" spans="1:30" ht="14.25" customHeight="1">
      <c r="A109" s="155">
        <v>1</v>
      </c>
      <c r="B109" s="462" t="s">
        <v>835</v>
      </c>
      <c r="C109" s="462"/>
      <c r="D109" s="463"/>
      <c r="E109" s="186"/>
      <c r="F109" s="459" t="s">
        <v>837</v>
      </c>
      <c r="G109" s="494"/>
      <c r="H109" s="460"/>
    </row>
    <row r="110" spans="1:30" ht="15" customHeight="1" thickBot="1">
      <c r="A110" s="156">
        <v>2</v>
      </c>
      <c r="B110" s="462" t="s">
        <v>836</v>
      </c>
      <c r="C110" s="462"/>
      <c r="D110" s="463"/>
      <c r="E110" s="187"/>
      <c r="F110" s="459" t="s">
        <v>838</v>
      </c>
      <c r="G110" s="494"/>
      <c r="H110" s="460"/>
    </row>
    <row r="112" spans="1:30" ht="15.5" thickBot="1">
      <c r="A112" s="2" t="s">
        <v>828</v>
      </c>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s="165" customFormat="1" ht="15">
      <c r="A113" s="464" t="s">
        <v>773</v>
      </c>
      <c r="B113" s="465"/>
      <c r="C113" s="465"/>
      <c r="D113" s="465"/>
      <c r="E113" s="121"/>
      <c r="F113" s="542" t="s">
        <v>785</v>
      </c>
      <c r="G113" s="543"/>
      <c r="H113" s="544"/>
      <c r="I113" s="106"/>
      <c r="J113" s="106"/>
      <c r="K113" s="106"/>
      <c r="L113" s="106"/>
      <c r="M113" s="106"/>
      <c r="N113" s="106"/>
      <c r="O113" s="106"/>
      <c r="P113" s="106"/>
      <c r="Q113" s="106"/>
      <c r="R113" s="548"/>
      <c r="S113" s="549"/>
      <c r="T113" s="549"/>
      <c r="U113" s="549"/>
      <c r="V113" s="549"/>
      <c r="W113" s="549"/>
      <c r="X113" s="549"/>
      <c r="Y113" s="549"/>
      <c r="Z113" s="549"/>
      <c r="AA113" s="549"/>
      <c r="AB113" s="549"/>
      <c r="AC113" s="549"/>
      <c r="AD113" s="549"/>
    </row>
    <row r="114" spans="1:30" s="165" customFormat="1" ht="15.5" thickBot="1">
      <c r="A114" s="464" t="s">
        <v>774</v>
      </c>
      <c r="B114" s="465"/>
      <c r="C114" s="465"/>
      <c r="D114" s="465"/>
      <c r="E114" s="128"/>
      <c r="F114" s="545"/>
      <c r="G114" s="546"/>
      <c r="H114" s="547"/>
      <c r="I114" s="106"/>
      <c r="J114" s="106"/>
      <c r="K114" s="106"/>
      <c r="L114" s="106"/>
      <c r="M114" s="106"/>
      <c r="N114" s="106"/>
      <c r="O114" s="106"/>
      <c r="P114" s="106"/>
      <c r="Q114" s="106"/>
      <c r="R114" s="548"/>
      <c r="S114" s="549"/>
      <c r="T114" s="549"/>
      <c r="U114" s="549"/>
      <c r="V114" s="549"/>
      <c r="W114" s="549"/>
      <c r="X114" s="549"/>
      <c r="Y114" s="549"/>
      <c r="Z114" s="549"/>
      <c r="AA114" s="549"/>
      <c r="AB114" s="549"/>
      <c r="AC114" s="549"/>
      <c r="AD114" s="549"/>
    </row>
    <row r="115" spans="1:30" s="102" customFormat="1" ht="15">
      <c r="A115" s="162"/>
      <c r="B115" s="106"/>
      <c r="C115" s="106"/>
      <c r="D115" s="106"/>
      <c r="E115" s="106"/>
      <c r="F115" s="106"/>
      <c r="G115" s="106"/>
      <c r="H115" s="106"/>
      <c r="I115" s="106"/>
      <c r="J115" s="106"/>
      <c r="K115" s="106"/>
      <c r="L115" s="106"/>
      <c r="M115" s="106"/>
      <c r="N115" s="106"/>
      <c r="O115" s="106"/>
      <c r="P115" s="106"/>
      <c r="Q115" s="106"/>
      <c r="R115" s="163"/>
      <c r="S115" s="164"/>
      <c r="T115" s="164"/>
      <c r="U115" s="164"/>
      <c r="V115" s="164"/>
      <c r="W115" s="164"/>
      <c r="X115" s="164"/>
      <c r="Y115" s="164"/>
      <c r="Z115" s="164"/>
      <c r="AA115" s="164"/>
      <c r="AB115" s="164"/>
      <c r="AC115" s="164"/>
      <c r="AD115" s="164"/>
    </row>
    <row r="116" spans="1:30" ht="15">
      <c r="A116" s="2" t="s">
        <v>829</v>
      </c>
      <c r="B116" s="2"/>
      <c r="C116" s="2"/>
      <c r="D116" s="2"/>
      <c r="E116" s="2"/>
      <c r="F116" s="2"/>
      <c r="G116" s="2"/>
      <c r="H116" s="2"/>
    </row>
    <row r="117" spans="1:30" ht="15.5" thickBot="1">
      <c r="A117" s="13" t="s">
        <v>35</v>
      </c>
      <c r="B117" s="461" t="s">
        <v>99</v>
      </c>
      <c r="C117" s="461"/>
      <c r="D117" s="461"/>
      <c r="E117" s="14" t="s">
        <v>100</v>
      </c>
      <c r="F117" s="461" t="s">
        <v>39</v>
      </c>
      <c r="G117" s="461"/>
      <c r="H117" s="461"/>
    </row>
    <row r="118" spans="1:30" ht="15">
      <c r="A118" s="31">
        <v>1</v>
      </c>
      <c r="B118" s="464" t="s">
        <v>101</v>
      </c>
      <c r="C118" s="465"/>
      <c r="D118" s="465"/>
      <c r="E118" s="121"/>
      <c r="F118" s="466" t="s">
        <v>102</v>
      </c>
      <c r="G118" s="466"/>
      <c r="H118" s="467"/>
    </row>
    <row r="119" spans="1:30" ht="15">
      <c r="A119" s="32">
        <v>2</v>
      </c>
      <c r="B119" s="464" t="s">
        <v>103</v>
      </c>
      <c r="C119" s="465"/>
      <c r="D119" s="465"/>
      <c r="E119" s="122"/>
      <c r="F119" s="468"/>
      <c r="G119" s="468"/>
      <c r="H119" s="469"/>
    </row>
    <row r="120" spans="1:30" ht="15">
      <c r="A120" s="32">
        <v>3</v>
      </c>
      <c r="B120" s="464" t="s">
        <v>104</v>
      </c>
      <c r="C120" s="465"/>
      <c r="D120" s="465"/>
      <c r="E120" s="122"/>
      <c r="F120" s="468"/>
      <c r="G120" s="468"/>
      <c r="H120" s="469"/>
    </row>
    <row r="121" spans="1:30" ht="15">
      <c r="A121" s="32">
        <v>4</v>
      </c>
      <c r="B121" s="464" t="s">
        <v>105</v>
      </c>
      <c r="C121" s="465"/>
      <c r="D121" s="465"/>
      <c r="E121" s="122"/>
      <c r="F121" s="468"/>
      <c r="G121" s="468"/>
      <c r="H121" s="469"/>
    </row>
    <row r="122" spans="1:30" ht="15">
      <c r="A122" s="32">
        <v>5</v>
      </c>
      <c r="B122" s="464" t="s">
        <v>106</v>
      </c>
      <c r="C122" s="465"/>
      <c r="D122" s="465"/>
      <c r="E122" s="122"/>
      <c r="F122" s="468"/>
      <c r="G122" s="468"/>
      <c r="H122" s="469"/>
    </row>
    <row r="123" spans="1:30" ht="15">
      <c r="A123" s="32">
        <v>6</v>
      </c>
      <c r="B123" s="464" t="s">
        <v>107</v>
      </c>
      <c r="C123" s="465"/>
      <c r="D123" s="465"/>
      <c r="E123" s="122"/>
      <c r="F123" s="468"/>
      <c r="G123" s="468"/>
      <c r="H123" s="469"/>
    </row>
    <row r="124" spans="1:30" ht="15">
      <c r="A124" s="32">
        <v>7</v>
      </c>
      <c r="B124" s="464" t="s">
        <v>108</v>
      </c>
      <c r="C124" s="465"/>
      <c r="D124" s="465"/>
      <c r="E124" s="122"/>
      <c r="F124" s="468"/>
      <c r="G124" s="468"/>
      <c r="H124" s="469"/>
    </row>
    <row r="125" spans="1:30" ht="15">
      <c r="A125" s="32">
        <v>8</v>
      </c>
      <c r="B125" s="464" t="s">
        <v>109</v>
      </c>
      <c r="C125" s="465"/>
      <c r="D125" s="465"/>
      <c r="E125" s="122"/>
      <c r="F125" s="468"/>
      <c r="G125" s="468"/>
      <c r="H125" s="469"/>
    </row>
    <row r="126" spans="1:30" ht="15">
      <c r="A126" s="32">
        <v>9</v>
      </c>
      <c r="B126" s="464" t="s">
        <v>110</v>
      </c>
      <c r="C126" s="465"/>
      <c r="D126" s="465"/>
      <c r="E126" s="122"/>
      <c r="F126" s="468"/>
      <c r="G126" s="468"/>
      <c r="H126" s="469"/>
    </row>
    <row r="127" spans="1:30" ht="15.5" thickBot="1">
      <c r="A127" s="32">
        <v>10</v>
      </c>
      <c r="B127" s="464" t="s">
        <v>111</v>
      </c>
      <c r="C127" s="465"/>
      <c r="D127" s="465"/>
      <c r="E127" s="128"/>
      <c r="F127" s="470"/>
      <c r="G127" s="470"/>
      <c r="H127" s="471"/>
    </row>
  </sheetData>
  <sheetProtection password="DFC2" sheet="1" objects="1" scenarios="1"/>
  <mergeCells count="86">
    <mergeCell ref="F101:H101"/>
    <mergeCell ref="B102:E102"/>
    <mergeCell ref="F102:H104"/>
    <mergeCell ref="B103:E103"/>
    <mergeCell ref="B104:E104"/>
    <mergeCell ref="F113:H114"/>
    <mergeCell ref="R113:AD113"/>
    <mergeCell ref="R114:AD114"/>
    <mergeCell ref="A114:D114"/>
    <mergeCell ref="A113:D113"/>
    <mergeCell ref="B96:E96"/>
    <mergeCell ref="B95:E95"/>
    <mergeCell ref="B125:D125"/>
    <mergeCell ref="B126:D126"/>
    <mergeCell ref="B127:D127"/>
    <mergeCell ref="B118:D118"/>
    <mergeCell ref="B97:E97"/>
    <mergeCell ref="B101:E101"/>
    <mergeCell ref="F118:H127"/>
    <mergeCell ref="B119:D119"/>
    <mergeCell ref="B120:D120"/>
    <mergeCell ref="B121:D121"/>
    <mergeCell ref="B122:D122"/>
    <mergeCell ref="B123:D123"/>
    <mergeCell ref="B124:D124"/>
    <mergeCell ref="F94:H94"/>
    <mergeCell ref="F95:H97"/>
    <mergeCell ref="A63:A68"/>
    <mergeCell ref="B63:B68"/>
    <mergeCell ref="F63:H63"/>
    <mergeCell ref="F64:H64"/>
    <mergeCell ref="F65:H65"/>
    <mergeCell ref="F66:H66"/>
    <mergeCell ref="F67:H67"/>
    <mergeCell ref="F68:H68"/>
    <mergeCell ref="F77:H77"/>
    <mergeCell ref="F78:H78"/>
    <mergeCell ref="F79:H79"/>
    <mergeCell ref="F80:H80"/>
    <mergeCell ref="B94:E94"/>
    <mergeCell ref="F88:H88"/>
    <mergeCell ref="F89:H89"/>
    <mergeCell ref="F90:H90"/>
    <mergeCell ref="F91:H91"/>
    <mergeCell ref="F61:H61"/>
    <mergeCell ref="F62:H62"/>
    <mergeCell ref="F81:H81"/>
    <mergeCell ref="F82:H82"/>
    <mergeCell ref="F72:H72"/>
    <mergeCell ref="F75:H75"/>
    <mergeCell ref="F76:H76"/>
    <mergeCell ref="F83:H83"/>
    <mergeCell ref="F69:H69"/>
    <mergeCell ref="F70:H70"/>
    <mergeCell ref="A55:D55"/>
    <mergeCell ref="B58:C58"/>
    <mergeCell ref="A84:A87"/>
    <mergeCell ref="A59:A62"/>
    <mergeCell ref="B59:B62"/>
    <mergeCell ref="A88:A91"/>
    <mergeCell ref="B88:B91"/>
    <mergeCell ref="A71:A72"/>
    <mergeCell ref="A73:A83"/>
    <mergeCell ref="A69:A70"/>
    <mergeCell ref="C3:G40"/>
    <mergeCell ref="B117:D117"/>
    <mergeCell ref="F117:H117"/>
    <mergeCell ref="B71:B72"/>
    <mergeCell ref="F71:H71"/>
    <mergeCell ref="B73:B83"/>
    <mergeCell ref="F73:H73"/>
    <mergeCell ref="F74:H74"/>
    <mergeCell ref="B84:B87"/>
    <mergeCell ref="F84:H84"/>
    <mergeCell ref="F85:H85"/>
    <mergeCell ref="F86:H86"/>
    <mergeCell ref="F87:H87"/>
    <mergeCell ref="F58:H58"/>
    <mergeCell ref="F59:H59"/>
    <mergeCell ref="F60:H60"/>
    <mergeCell ref="F110:H110"/>
    <mergeCell ref="B109:D109"/>
    <mergeCell ref="B110:D110"/>
    <mergeCell ref="F108:H108"/>
    <mergeCell ref="B108:D108"/>
    <mergeCell ref="F109:H109"/>
  </mergeCells>
  <phoneticPr fontId="4"/>
  <dataValidations count="1">
    <dataValidation type="list" allowBlank="1" showInputMessage="1" showErrorMessage="1" sqref="E109:E110">
      <formula1>"""監視サービス登録書""シート５項記載の発電事業オーナー様,""監視サービス登録書""シート６項記載の保守責任事業者様"</formula1>
    </dataValidation>
  </dataValidations>
  <pageMargins left="0.31496062992125984" right="0.23622047244094491" top="0.31496062992125984" bottom="0.35433070866141736" header="0.23622047244094491" footer="0.19685039370078741"/>
  <pageSetup paperSize="9" scale="70" orientation="landscape" r:id="rId1"/>
  <headerFooter>
    <oddFooter>&amp;P / &amp;N ページ</oddFooter>
  </headerFooter>
  <rowBreaks count="2" manualBreakCount="2">
    <brk id="42" max="16383" man="1"/>
    <brk id="9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xdr:col>
                    <xdr:colOff>171450</xdr:colOff>
                    <xdr:row>54</xdr:row>
                    <xdr:rowOff>203200</xdr:rowOff>
                  </from>
                  <to>
                    <xdr:col>4</xdr:col>
                    <xdr:colOff>2705100</xdr:colOff>
                    <xdr:row>54</xdr:row>
                    <xdr:rowOff>393700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4</xdr:col>
                    <xdr:colOff>152400</xdr:colOff>
                    <xdr:row>70</xdr:row>
                    <xdr:rowOff>38100</xdr:rowOff>
                  </from>
                  <to>
                    <xdr:col>4</xdr:col>
                    <xdr:colOff>704850</xdr:colOff>
                    <xdr:row>70</xdr:row>
                    <xdr:rowOff>209550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4</xdr:col>
                    <xdr:colOff>1009650</xdr:colOff>
                    <xdr:row>70</xdr:row>
                    <xdr:rowOff>31750</xdr:rowOff>
                  </from>
                  <to>
                    <xdr:col>4</xdr:col>
                    <xdr:colOff>1917700</xdr:colOff>
                    <xdr:row>70</xdr:row>
                    <xdr:rowOff>209550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4</xdr:col>
                    <xdr:colOff>2209800</xdr:colOff>
                    <xdr:row>70</xdr:row>
                    <xdr:rowOff>31750</xdr:rowOff>
                  </from>
                  <to>
                    <xdr:col>4</xdr:col>
                    <xdr:colOff>3105150</xdr:colOff>
                    <xdr:row>70</xdr:row>
                    <xdr:rowOff>209550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4</xdr:col>
                    <xdr:colOff>1009650</xdr:colOff>
                    <xdr:row>70</xdr:row>
                    <xdr:rowOff>298450</xdr:rowOff>
                  </from>
                  <to>
                    <xdr:col>4</xdr:col>
                    <xdr:colOff>1936750</xdr:colOff>
                    <xdr:row>70</xdr:row>
                    <xdr:rowOff>488950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4</xdr:col>
                    <xdr:colOff>171450</xdr:colOff>
                    <xdr:row>83</xdr:row>
                    <xdr:rowOff>19050</xdr:rowOff>
                  </from>
                  <to>
                    <xdr:col>4</xdr:col>
                    <xdr:colOff>1879600</xdr:colOff>
                    <xdr:row>83</xdr:row>
                    <xdr:rowOff>184150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4</xdr:col>
                    <xdr:colOff>2146300</xdr:colOff>
                    <xdr:row>83</xdr:row>
                    <xdr:rowOff>19050</xdr:rowOff>
                  </from>
                  <to>
                    <xdr:col>4</xdr:col>
                    <xdr:colOff>3848100</xdr:colOff>
                    <xdr:row>83</xdr:row>
                    <xdr:rowOff>184150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4</xdr:col>
                    <xdr:colOff>628650</xdr:colOff>
                    <xdr:row>87</xdr:row>
                    <xdr:rowOff>133350</xdr:rowOff>
                  </from>
                  <to>
                    <xdr:col>4</xdr:col>
                    <xdr:colOff>1346200</xdr:colOff>
                    <xdr:row>87</xdr:row>
                    <xdr:rowOff>285750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4</xdr:col>
                    <xdr:colOff>1924050</xdr:colOff>
                    <xdr:row>87</xdr:row>
                    <xdr:rowOff>133350</xdr:rowOff>
                  </from>
                  <to>
                    <xdr:col>4</xdr:col>
                    <xdr:colOff>2965450</xdr:colOff>
                    <xdr:row>87</xdr:row>
                    <xdr:rowOff>285750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4</xdr:col>
                    <xdr:colOff>171450</xdr:colOff>
                    <xdr:row>84</xdr:row>
                    <xdr:rowOff>12700</xdr:rowOff>
                  </from>
                  <to>
                    <xdr:col>4</xdr:col>
                    <xdr:colOff>1879600</xdr:colOff>
                    <xdr:row>84</xdr:row>
                    <xdr:rowOff>171450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4</xdr:col>
                    <xdr:colOff>2146300</xdr:colOff>
                    <xdr:row>84</xdr:row>
                    <xdr:rowOff>12700</xdr:rowOff>
                  </from>
                  <to>
                    <xdr:col>4</xdr:col>
                    <xdr:colOff>3848100</xdr:colOff>
                    <xdr:row>84</xdr:row>
                    <xdr:rowOff>171450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4</xdr:col>
                    <xdr:colOff>171450</xdr:colOff>
                    <xdr:row>85</xdr:row>
                    <xdr:rowOff>12700</xdr:rowOff>
                  </from>
                  <to>
                    <xdr:col>4</xdr:col>
                    <xdr:colOff>1879600</xdr:colOff>
                    <xdr:row>85</xdr:row>
                    <xdr:rowOff>171450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4</xdr:col>
                    <xdr:colOff>2146300</xdr:colOff>
                    <xdr:row>85</xdr:row>
                    <xdr:rowOff>12700</xdr:rowOff>
                  </from>
                  <to>
                    <xdr:col>4</xdr:col>
                    <xdr:colOff>3848100</xdr:colOff>
                    <xdr:row>85</xdr:row>
                    <xdr:rowOff>171450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4</xdr:col>
                    <xdr:colOff>171450</xdr:colOff>
                    <xdr:row>86</xdr:row>
                    <xdr:rowOff>12700</xdr:rowOff>
                  </from>
                  <to>
                    <xdr:col>4</xdr:col>
                    <xdr:colOff>1879600</xdr:colOff>
                    <xdr:row>86</xdr:row>
                    <xdr:rowOff>171450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4</xdr:col>
                    <xdr:colOff>2146300</xdr:colOff>
                    <xdr:row>86</xdr:row>
                    <xdr:rowOff>12700</xdr:rowOff>
                  </from>
                  <to>
                    <xdr:col>4</xdr:col>
                    <xdr:colOff>3848100</xdr:colOff>
                    <xdr:row>86</xdr:row>
                    <xdr:rowOff>171450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4</xdr:col>
                    <xdr:colOff>628650</xdr:colOff>
                    <xdr:row>117</xdr:row>
                    <xdr:rowOff>12700</xdr:rowOff>
                  </from>
                  <to>
                    <xdr:col>4</xdr:col>
                    <xdr:colOff>1250950</xdr:colOff>
                    <xdr:row>117</xdr:row>
                    <xdr:rowOff>184150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4</xdr:col>
                    <xdr:colOff>2095500</xdr:colOff>
                    <xdr:row>117</xdr:row>
                    <xdr:rowOff>12700</xdr:rowOff>
                  </from>
                  <to>
                    <xdr:col>4</xdr:col>
                    <xdr:colOff>2717800</xdr:colOff>
                    <xdr:row>117</xdr:row>
                    <xdr:rowOff>184150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4</xdr:col>
                    <xdr:colOff>628650</xdr:colOff>
                    <xdr:row>118</xdr:row>
                    <xdr:rowOff>12700</xdr:rowOff>
                  </from>
                  <to>
                    <xdr:col>4</xdr:col>
                    <xdr:colOff>1250950</xdr:colOff>
                    <xdr:row>118</xdr:row>
                    <xdr:rowOff>184150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4</xdr:col>
                    <xdr:colOff>2095500</xdr:colOff>
                    <xdr:row>118</xdr:row>
                    <xdr:rowOff>12700</xdr:rowOff>
                  </from>
                  <to>
                    <xdr:col>4</xdr:col>
                    <xdr:colOff>2717800</xdr:colOff>
                    <xdr:row>118</xdr:row>
                    <xdr:rowOff>184150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4</xdr:col>
                    <xdr:colOff>628650</xdr:colOff>
                    <xdr:row>119</xdr:row>
                    <xdr:rowOff>0</xdr:rowOff>
                  </from>
                  <to>
                    <xdr:col>4</xdr:col>
                    <xdr:colOff>1250950</xdr:colOff>
                    <xdr:row>119</xdr:row>
                    <xdr:rowOff>171450</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4</xdr:col>
                    <xdr:colOff>2095500</xdr:colOff>
                    <xdr:row>119</xdr:row>
                    <xdr:rowOff>0</xdr:rowOff>
                  </from>
                  <to>
                    <xdr:col>4</xdr:col>
                    <xdr:colOff>2717800</xdr:colOff>
                    <xdr:row>119</xdr:row>
                    <xdr:rowOff>171450</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4</xdr:col>
                    <xdr:colOff>628650</xdr:colOff>
                    <xdr:row>120</xdr:row>
                    <xdr:rowOff>0</xdr:rowOff>
                  </from>
                  <to>
                    <xdr:col>4</xdr:col>
                    <xdr:colOff>1250950</xdr:colOff>
                    <xdr:row>120</xdr:row>
                    <xdr:rowOff>171450</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4</xdr:col>
                    <xdr:colOff>2095500</xdr:colOff>
                    <xdr:row>120</xdr:row>
                    <xdr:rowOff>0</xdr:rowOff>
                  </from>
                  <to>
                    <xdr:col>4</xdr:col>
                    <xdr:colOff>2717800</xdr:colOff>
                    <xdr:row>120</xdr:row>
                    <xdr:rowOff>171450</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4</xdr:col>
                    <xdr:colOff>628650</xdr:colOff>
                    <xdr:row>121</xdr:row>
                    <xdr:rowOff>0</xdr:rowOff>
                  </from>
                  <to>
                    <xdr:col>4</xdr:col>
                    <xdr:colOff>1250950</xdr:colOff>
                    <xdr:row>121</xdr:row>
                    <xdr:rowOff>171450</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4</xdr:col>
                    <xdr:colOff>2095500</xdr:colOff>
                    <xdr:row>121</xdr:row>
                    <xdr:rowOff>0</xdr:rowOff>
                  </from>
                  <to>
                    <xdr:col>4</xdr:col>
                    <xdr:colOff>2717800</xdr:colOff>
                    <xdr:row>121</xdr:row>
                    <xdr:rowOff>171450</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4</xdr:col>
                    <xdr:colOff>628650</xdr:colOff>
                    <xdr:row>122</xdr:row>
                    <xdr:rowOff>0</xdr:rowOff>
                  </from>
                  <to>
                    <xdr:col>4</xdr:col>
                    <xdr:colOff>1250950</xdr:colOff>
                    <xdr:row>122</xdr:row>
                    <xdr:rowOff>171450</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4</xdr:col>
                    <xdr:colOff>2095500</xdr:colOff>
                    <xdr:row>122</xdr:row>
                    <xdr:rowOff>0</xdr:rowOff>
                  </from>
                  <to>
                    <xdr:col>4</xdr:col>
                    <xdr:colOff>2717800</xdr:colOff>
                    <xdr:row>122</xdr:row>
                    <xdr:rowOff>171450</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4</xdr:col>
                    <xdr:colOff>628650</xdr:colOff>
                    <xdr:row>123</xdr:row>
                    <xdr:rowOff>0</xdr:rowOff>
                  </from>
                  <to>
                    <xdr:col>4</xdr:col>
                    <xdr:colOff>1250950</xdr:colOff>
                    <xdr:row>123</xdr:row>
                    <xdr:rowOff>171450</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4</xdr:col>
                    <xdr:colOff>2095500</xdr:colOff>
                    <xdr:row>123</xdr:row>
                    <xdr:rowOff>0</xdr:rowOff>
                  </from>
                  <to>
                    <xdr:col>4</xdr:col>
                    <xdr:colOff>2717800</xdr:colOff>
                    <xdr:row>123</xdr:row>
                    <xdr:rowOff>171450</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4</xdr:col>
                    <xdr:colOff>628650</xdr:colOff>
                    <xdr:row>124</xdr:row>
                    <xdr:rowOff>12700</xdr:rowOff>
                  </from>
                  <to>
                    <xdr:col>4</xdr:col>
                    <xdr:colOff>1250950</xdr:colOff>
                    <xdr:row>124</xdr:row>
                    <xdr:rowOff>184150</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4</xdr:col>
                    <xdr:colOff>2095500</xdr:colOff>
                    <xdr:row>124</xdr:row>
                    <xdr:rowOff>12700</xdr:rowOff>
                  </from>
                  <to>
                    <xdr:col>4</xdr:col>
                    <xdr:colOff>2717800</xdr:colOff>
                    <xdr:row>124</xdr:row>
                    <xdr:rowOff>184150</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4</xdr:col>
                    <xdr:colOff>628650</xdr:colOff>
                    <xdr:row>125</xdr:row>
                    <xdr:rowOff>12700</xdr:rowOff>
                  </from>
                  <to>
                    <xdr:col>4</xdr:col>
                    <xdr:colOff>1250950</xdr:colOff>
                    <xdr:row>125</xdr:row>
                    <xdr:rowOff>184150</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4</xdr:col>
                    <xdr:colOff>2095500</xdr:colOff>
                    <xdr:row>125</xdr:row>
                    <xdr:rowOff>12700</xdr:rowOff>
                  </from>
                  <to>
                    <xdr:col>4</xdr:col>
                    <xdr:colOff>2717800</xdr:colOff>
                    <xdr:row>125</xdr:row>
                    <xdr:rowOff>184150</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4</xdr:col>
                    <xdr:colOff>628650</xdr:colOff>
                    <xdr:row>126</xdr:row>
                    <xdr:rowOff>12700</xdr:rowOff>
                  </from>
                  <to>
                    <xdr:col>4</xdr:col>
                    <xdr:colOff>1250950</xdr:colOff>
                    <xdr:row>126</xdr:row>
                    <xdr:rowOff>184150</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4</xdr:col>
                    <xdr:colOff>2095500</xdr:colOff>
                    <xdr:row>126</xdr:row>
                    <xdr:rowOff>12700</xdr:rowOff>
                  </from>
                  <to>
                    <xdr:col>4</xdr:col>
                    <xdr:colOff>2717800</xdr:colOff>
                    <xdr:row>126</xdr:row>
                    <xdr:rowOff>184150</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4</xdr:col>
                    <xdr:colOff>2209800</xdr:colOff>
                    <xdr:row>70</xdr:row>
                    <xdr:rowOff>298450</xdr:rowOff>
                  </from>
                  <to>
                    <xdr:col>4</xdr:col>
                    <xdr:colOff>2438400</xdr:colOff>
                    <xdr:row>70</xdr:row>
                    <xdr:rowOff>495300</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1</xdr:col>
                    <xdr:colOff>412750</xdr:colOff>
                    <xdr:row>93</xdr:row>
                    <xdr:rowOff>203200</xdr:rowOff>
                  </from>
                  <to>
                    <xdr:col>1</xdr:col>
                    <xdr:colOff>1028700</xdr:colOff>
                    <xdr:row>94</xdr:row>
                    <xdr:rowOff>171450</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2</xdr:col>
                    <xdr:colOff>1104900</xdr:colOff>
                    <xdr:row>93</xdr:row>
                    <xdr:rowOff>203200</xdr:rowOff>
                  </from>
                  <to>
                    <xdr:col>3</xdr:col>
                    <xdr:colOff>355600</xdr:colOff>
                    <xdr:row>94</xdr:row>
                    <xdr:rowOff>171450</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1</xdr:col>
                    <xdr:colOff>412750</xdr:colOff>
                    <xdr:row>95</xdr:row>
                    <xdr:rowOff>19050</xdr:rowOff>
                  </from>
                  <to>
                    <xdr:col>1</xdr:col>
                    <xdr:colOff>1028700</xdr:colOff>
                    <xdr:row>95</xdr:row>
                    <xdr:rowOff>171450</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2</xdr:col>
                    <xdr:colOff>1104900</xdr:colOff>
                    <xdr:row>95</xdr:row>
                    <xdr:rowOff>19050</xdr:rowOff>
                  </from>
                  <to>
                    <xdr:col>2</xdr:col>
                    <xdr:colOff>1727200</xdr:colOff>
                    <xdr:row>95</xdr:row>
                    <xdr:rowOff>171450</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1</xdr:col>
                    <xdr:colOff>412750</xdr:colOff>
                    <xdr:row>96</xdr:row>
                    <xdr:rowOff>0</xdr:rowOff>
                  </from>
                  <to>
                    <xdr:col>2</xdr:col>
                    <xdr:colOff>742950</xdr:colOff>
                    <xdr:row>96</xdr:row>
                    <xdr:rowOff>171450</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3</xdr:col>
                    <xdr:colOff>927100</xdr:colOff>
                    <xdr:row>95</xdr:row>
                    <xdr:rowOff>19050</xdr:rowOff>
                  </from>
                  <to>
                    <xdr:col>4</xdr:col>
                    <xdr:colOff>850900</xdr:colOff>
                    <xdr:row>95</xdr:row>
                    <xdr:rowOff>171450</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2</xdr:col>
                    <xdr:colOff>1104900</xdr:colOff>
                    <xdr:row>96</xdr:row>
                    <xdr:rowOff>0</xdr:rowOff>
                  </from>
                  <to>
                    <xdr:col>3</xdr:col>
                    <xdr:colOff>495300</xdr:colOff>
                    <xdr:row>96</xdr:row>
                    <xdr:rowOff>171450</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3</xdr:col>
                    <xdr:colOff>927100</xdr:colOff>
                    <xdr:row>96</xdr:row>
                    <xdr:rowOff>0</xdr:rowOff>
                  </from>
                  <to>
                    <xdr:col>4</xdr:col>
                    <xdr:colOff>1612900</xdr:colOff>
                    <xdr:row>97</xdr:row>
                    <xdr:rowOff>0</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4</xdr:col>
                    <xdr:colOff>2000250</xdr:colOff>
                    <xdr:row>96</xdr:row>
                    <xdr:rowOff>0</xdr:rowOff>
                  </from>
                  <to>
                    <xdr:col>4</xdr:col>
                    <xdr:colOff>3314700</xdr:colOff>
                    <xdr:row>96</xdr:row>
                    <xdr:rowOff>171450</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4</xdr:col>
                    <xdr:colOff>850900</xdr:colOff>
                    <xdr:row>68</xdr:row>
                    <xdr:rowOff>31750</xdr:rowOff>
                  </from>
                  <to>
                    <xdr:col>4</xdr:col>
                    <xdr:colOff>1651000</xdr:colOff>
                    <xdr:row>68</xdr:row>
                    <xdr:rowOff>203200</xdr:rowOff>
                  </to>
                </anchor>
              </controlPr>
            </control>
          </mc:Choice>
        </mc:AlternateContent>
        <mc:AlternateContent xmlns:mc="http://schemas.openxmlformats.org/markup-compatibility/2006">
          <mc:Choice Requires="x14">
            <control shapeId="1071" r:id="rId50" name="Check Box 47">
              <controlPr defaultSize="0" autoFill="0" autoLine="0" autoPict="0">
                <anchor moveWithCells="1">
                  <from>
                    <xdr:col>4</xdr:col>
                    <xdr:colOff>2247900</xdr:colOff>
                    <xdr:row>68</xdr:row>
                    <xdr:rowOff>31750</xdr:rowOff>
                  </from>
                  <to>
                    <xdr:col>4</xdr:col>
                    <xdr:colOff>2933700</xdr:colOff>
                    <xdr:row>68</xdr:row>
                    <xdr:rowOff>203200</xdr:rowOff>
                  </to>
                </anchor>
              </controlPr>
            </control>
          </mc:Choice>
        </mc:AlternateContent>
        <mc:AlternateContent xmlns:mc="http://schemas.openxmlformats.org/markup-compatibility/2006">
          <mc:Choice Requires="x14">
            <control shapeId="1072" r:id="rId51" name="Check Box 48">
              <controlPr defaultSize="0" autoFill="0" autoLine="0" autoPict="0">
                <anchor moveWithCells="1">
                  <from>
                    <xdr:col>20</xdr:col>
                    <xdr:colOff>76200</xdr:colOff>
                    <xdr:row>113</xdr:row>
                    <xdr:rowOff>19050</xdr:rowOff>
                  </from>
                  <to>
                    <xdr:col>23</xdr:col>
                    <xdr:colOff>88900</xdr:colOff>
                    <xdr:row>113</xdr:row>
                    <xdr:rowOff>165100</xdr:rowOff>
                  </to>
                </anchor>
              </controlPr>
            </control>
          </mc:Choice>
        </mc:AlternateContent>
        <mc:AlternateContent xmlns:mc="http://schemas.openxmlformats.org/markup-compatibility/2006">
          <mc:Choice Requires="x14">
            <control shapeId="1073" r:id="rId52" name="Check Box 49">
              <controlPr defaultSize="0" autoFill="0" autoLine="0" autoPict="0">
                <anchor moveWithCells="1">
                  <from>
                    <xdr:col>25</xdr:col>
                    <xdr:colOff>95250</xdr:colOff>
                    <xdr:row>113</xdr:row>
                    <xdr:rowOff>19050</xdr:rowOff>
                  </from>
                  <to>
                    <xdr:col>27</xdr:col>
                    <xdr:colOff>107950</xdr:colOff>
                    <xdr:row>113</xdr:row>
                    <xdr:rowOff>165100</xdr:rowOff>
                  </to>
                </anchor>
              </controlPr>
            </control>
          </mc:Choice>
        </mc:AlternateContent>
        <mc:AlternateContent xmlns:mc="http://schemas.openxmlformats.org/markup-compatibility/2006">
          <mc:Choice Requires="x14">
            <control shapeId="1074" r:id="rId53" name="Check Box 50">
              <controlPr defaultSize="0" autoFill="0" autoLine="0" autoPict="0">
                <anchor moveWithCells="1">
                  <from>
                    <xdr:col>4</xdr:col>
                    <xdr:colOff>850900</xdr:colOff>
                    <xdr:row>113</xdr:row>
                    <xdr:rowOff>19050</xdr:rowOff>
                  </from>
                  <to>
                    <xdr:col>4</xdr:col>
                    <xdr:colOff>1689100</xdr:colOff>
                    <xdr:row>113</xdr:row>
                    <xdr:rowOff>165100</xdr:rowOff>
                  </to>
                </anchor>
              </controlPr>
            </control>
          </mc:Choice>
        </mc:AlternateContent>
        <mc:AlternateContent xmlns:mc="http://schemas.openxmlformats.org/markup-compatibility/2006">
          <mc:Choice Requires="x14">
            <control shapeId="1075" r:id="rId54" name="Check Box 51">
              <controlPr defaultSize="0" autoFill="0" autoLine="0" autoPict="0">
                <anchor moveWithCells="1">
                  <from>
                    <xdr:col>4</xdr:col>
                    <xdr:colOff>2247900</xdr:colOff>
                    <xdr:row>113</xdr:row>
                    <xdr:rowOff>19050</xdr:rowOff>
                  </from>
                  <to>
                    <xdr:col>4</xdr:col>
                    <xdr:colOff>2813050</xdr:colOff>
                    <xdr:row>113</xdr:row>
                    <xdr:rowOff>165100</xdr:rowOff>
                  </to>
                </anchor>
              </controlPr>
            </control>
          </mc:Choice>
        </mc:AlternateContent>
        <mc:AlternateContent xmlns:mc="http://schemas.openxmlformats.org/markup-compatibility/2006">
          <mc:Choice Requires="x14">
            <control shapeId="1076" r:id="rId55" name="Check Box 52">
              <controlPr defaultSize="0" autoFill="0" autoLine="0" autoPict="0">
                <anchor moveWithCells="1">
                  <from>
                    <xdr:col>1</xdr:col>
                    <xdr:colOff>412750</xdr:colOff>
                    <xdr:row>100</xdr:row>
                    <xdr:rowOff>203200</xdr:rowOff>
                  </from>
                  <to>
                    <xdr:col>1</xdr:col>
                    <xdr:colOff>1028700</xdr:colOff>
                    <xdr:row>101</xdr:row>
                    <xdr:rowOff>171450</xdr:rowOff>
                  </to>
                </anchor>
              </controlPr>
            </control>
          </mc:Choice>
        </mc:AlternateContent>
        <mc:AlternateContent xmlns:mc="http://schemas.openxmlformats.org/markup-compatibility/2006">
          <mc:Choice Requires="x14">
            <control shapeId="1077" r:id="rId56" name="Check Box 53">
              <controlPr defaultSize="0" autoFill="0" autoLine="0" autoPict="0">
                <anchor moveWithCells="1">
                  <from>
                    <xdr:col>2</xdr:col>
                    <xdr:colOff>1104900</xdr:colOff>
                    <xdr:row>100</xdr:row>
                    <xdr:rowOff>203200</xdr:rowOff>
                  </from>
                  <to>
                    <xdr:col>3</xdr:col>
                    <xdr:colOff>355600</xdr:colOff>
                    <xdr:row>101</xdr:row>
                    <xdr:rowOff>171450</xdr:rowOff>
                  </to>
                </anchor>
              </controlPr>
            </control>
          </mc:Choice>
        </mc:AlternateContent>
        <mc:AlternateContent xmlns:mc="http://schemas.openxmlformats.org/markup-compatibility/2006">
          <mc:Choice Requires="x14">
            <control shapeId="1078" r:id="rId57" name="Check Box 54">
              <controlPr defaultSize="0" autoFill="0" autoLine="0" autoPict="0">
                <anchor moveWithCells="1">
                  <from>
                    <xdr:col>1</xdr:col>
                    <xdr:colOff>412750</xdr:colOff>
                    <xdr:row>102</xdr:row>
                    <xdr:rowOff>19050</xdr:rowOff>
                  </from>
                  <to>
                    <xdr:col>1</xdr:col>
                    <xdr:colOff>1028700</xdr:colOff>
                    <xdr:row>102</xdr:row>
                    <xdr:rowOff>171450</xdr:rowOff>
                  </to>
                </anchor>
              </controlPr>
            </control>
          </mc:Choice>
        </mc:AlternateContent>
        <mc:AlternateContent xmlns:mc="http://schemas.openxmlformats.org/markup-compatibility/2006">
          <mc:Choice Requires="x14">
            <control shapeId="1079" r:id="rId58" name="Check Box 55">
              <controlPr defaultSize="0" autoFill="0" autoLine="0" autoPict="0">
                <anchor moveWithCells="1">
                  <from>
                    <xdr:col>2</xdr:col>
                    <xdr:colOff>1104900</xdr:colOff>
                    <xdr:row>102</xdr:row>
                    <xdr:rowOff>19050</xdr:rowOff>
                  </from>
                  <to>
                    <xdr:col>2</xdr:col>
                    <xdr:colOff>1727200</xdr:colOff>
                    <xdr:row>102</xdr:row>
                    <xdr:rowOff>171450</xdr:rowOff>
                  </to>
                </anchor>
              </controlPr>
            </control>
          </mc:Choice>
        </mc:AlternateContent>
        <mc:AlternateContent xmlns:mc="http://schemas.openxmlformats.org/markup-compatibility/2006">
          <mc:Choice Requires="x14">
            <control shapeId="1080" r:id="rId59" name="Check Box 56">
              <controlPr defaultSize="0" autoFill="0" autoLine="0" autoPict="0">
                <anchor moveWithCells="1">
                  <from>
                    <xdr:col>1</xdr:col>
                    <xdr:colOff>412750</xdr:colOff>
                    <xdr:row>103</xdr:row>
                    <xdr:rowOff>0</xdr:rowOff>
                  </from>
                  <to>
                    <xdr:col>2</xdr:col>
                    <xdr:colOff>742950</xdr:colOff>
                    <xdr:row>103</xdr:row>
                    <xdr:rowOff>171450</xdr:rowOff>
                  </to>
                </anchor>
              </controlPr>
            </control>
          </mc:Choice>
        </mc:AlternateContent>
        <mc:AlternateContent xmlns:mc="http://schemas.openxmlformats.org/markup-compatibility/2006">
          <mc:Choice Requires="x14">
            <control shapeId="1081" r:id="rId60" name="Check Box 57">
              <controlPr defaultSize="0" autoFill="0" autoLine="0" autoPict="0">
                <anchor moveWithCells="1">
                  <from>
                    <xdr:col>3</xdr:col>
                    <xdr:colOff>927100</xdr:colOff>
                    <xdr:row>102</xdr:row>
                    <xdr:rowOff>19050</xdr:rowOff>
                  </from>
                  <to>
                    <xdr:col>4</xdr:col>
                    <xdr:colOff>850900</xdr:colOff>
                    <xdr:row>102</xdr:row>
                    <xdr:rowOff>171450</xdr:rowOff>
                  </to>
                </anchor>
              </controlPr>
            </control>
          </mc:Choice>
        </mc:AlternateContent>
        <mc:AlternateContent xmlns:mc="http://schemas.openxmlformats.org/markup-compatibility/2006">
          <mc:Choice Requires="x14">
            <control shapeId="1082" r:id="rId61" name="Check Box 58">
              <controlPr defaultSize="0" autoFill="0" autoLine="0" autoPict="0">
                <anchor moveWithCells="1">
                  <from>
                    <xdr:col>2</xdr:col>
                    <xdr:colOff>1104900</xdr:colOff>
                    <xdr:row>103</xdr:row>
                    <xdr:rowOff>0</xdr:rowOff>
                  </from>
                  <to>
                    <xdr:col>3</xdr:col>
                    <xdr:colOff>495300</xdr:colOff>
                    <xdr:row>103</xdr:row>
                    <xdr:rowOff>171450</xdr:rowOff>
                  </to>
                </anchor>
              </controlPr>
            </control>
          </mc:Choice>
        </mc:AlternateContent>
        <mc:AlternateContent xmlns:mc="http://schemas.openxmlformats.org/markup-compatibility/2006">
          <mc:Choice Requires="x14">
            <control shapeId="1083" r:id="rId62" name="Check Box 59">
              <controlPr defaultSize="0" autoFill="0" autoLine="0" autoPict="0">
                <anchor moveWithCells="1">
                  <from>
                    <xdr:col>3</xdr:col>
                    <xdr:colOff>927100</xdr:colOff>
                    <xdr:row>102</xdr:row>
                    <xdr:rowOff>203200</xdr:rowOff>
                  </from>
                  <to>
                    <xdr:col>4</xdr:col>
                    <xdr:colOff>1581150</xdr:colOff>
                    <xdr:row>103</xdr:row>
                    <xdr:rowOff>184150</xdr:rowOff>
                  </to>
                </anchor>
              </controlPr>
            </control>
          </mc:Choice>
        </mc:AlternateContent>
        <mc:AlternateContent xmlns:mc="http://schemas.openxmlformats.org/markup-compatibility/2006">
          <mc:Choice Requires="x14">
            <control shapeId="1084" r:id="rId63" name="Check Box 60">
              <controlPr defaultSize="0" autoFill="0" autoLine="0" autoPict="0">
                <anchor moveWithCells="1">
                  <from>
                    <xdr:col>4</xdr:col>
                    <xdr:colOff>2000250</xdr:colOff>
                    <xdr:row>103</xdr:row>
                    <xdr:rowOff>0</xdr:rowOff>
                  </from>
                  <to>
                    <xdr:col>4</xdr:col>
                    <xdr:colOff>3314700</xdr:colOff>
                    <xdr:row>103</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text="！" id="{50DB308E-7A4D-4051-8149-F48D24AB1A84}">
            <xm:f>NOT(ISERROR(SEARCH("！",監視サービス登録書!I107)))</xm:f>
            <x14:dxf>
              <font>
                <color theme="0"/>
              </font>
              <fill>
                <patternFill>
                  <bgColor rgb="FFFF0000"/>
                </patternFill>
              </fill>
            </x14:dxf>
          </x14:cfRule>
          <xm:sqref>F109:F110</xm:sqref>
        </x14:conditionalFormatting>
        <x14:conditionalFormatting xmlns:xm="http://schemas.microsoft.com/office/excel/2006/main">
          <x14:cfRule type="containsText" priority="3" operator="containsText" text="必須" id="{AC7BDC41-FCB9-4723-93D6-54A1BC6D8E52}">
            <xm:f>NOT(ISERROR(SEARCH("必須",監視サービス登録書!I107)))</xm:f>
            <x14:dxf>
              <font>
                <color rgb="FFFF0000"/>
              </font>
            </x14:dxf>
          </x14:cfRule>
          <xm:sqref>F109:F110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99"/>
  </sheetPr>
  <dimension ref="A1:AY186"/>
  <sheetViews>
    <sheetView view="pageBreakPreview" zoomScaleNormal="85" zoomScaleSheetLayoutView="100" workbookViewId="0"/>
  </sheetViews>
  <sheetFormatPr defaultColWidth="9" defaultRowHeight="13"/>
  <cols>
    <col min="1" max="50" width="3.6328125" style="3" customWidth="1"/>
    <col min="51" max="51" width="16.7265625" style="3" customWidth="1"/>
    <col min="52" max="16384" width="9" style="3"/>
  </cols>
  <sheetData>
    <row r="1" spans="1:51">
      <c r="A1" s="33" t="s">
        <v>113</v>
      </c>
      <c r="B1" s="34"/>
      <c r="C1" s="33"/>
      <c r="D1" s="33"/>
      <c r="E1" s="33"/>
      <c r="F1" s="33"/>
      <c r="G1" s="33"/>
      <c r="H1" s="33"/>
      <c r="I1" s="35"/>
    </row>
    <row r="2" spans="1:51">
      <c r="A2" s="33"/>
      <c r="B2" s="34"/>
      <c r="C2" s="33"/>
      <c r="D2" s="33"/>
      <c r="E2" s="33"/>
      <c r="F2" s="33"/>
      <c r="G2" s="33"/>
      <c r="H2" s="33"/>
      <c r="I2" s="35"/>
      <c r="AY2" s="8" t="s">
        <v>117</v>
      </c>
    </row>
    <row r="3" spans="1:51" ht="7" customHeight="1">
      <c r="A3" s="33"/>
      <c r="B3" s="34"/>
      <c r="C3" s="33"/>
      <c r="D3" s="33"/>
      <c r="E3" s="33"/>
      <c r="F3" s="33"/>
      <c r="G3" s="33"/>
      <c r="H3" s="33"/>
      <c r="I3" s="35"/>
      <c r="AY3" s="8"/>
    </row>
    <row r="4" spans="1:51">
      <c r="A4" s="33"/>
      <c r="B4" s="34"/>
      <c r="C4" s="33"/>
      <c r="D4" s="33"/>
      <c r="E4" s="33"/>
      <c r="F4" s="33"/>
      <c r="G4" s="33"/>
      <c r="H4" s="33"/>
      <c r="I4" s="35"/>
      <c r="AY4" s="8" t="s">
        <v>118</v>
      </c>
    </row>
    <row r="5" spans="1:51">
      <c r="A5" s="33"/>
      <c r="B5" s="34"/>
      <c r="C5" s="33"/>
      <c r="D5" s="33"/>
      <c r="E5" s="33"/>
      <c r="F5" s="33"/>
      <c r="G5" s="33"/>
      <c r="H5" s="33"/>
      <c r="I5" s="35"/>
      <c r="AY5" s="8" t="s">
        <v>409</v>
      </c>
    </row>
    <row r="6" spans="1:51">
      <c r="A6" s="33"/>
      <c r="B6" s="34"/>
      <c r="C6" s="33"/>
      <c r="D6" s="33"/>
      <c r="E6" s="33"/>
      <c r="F6" s="33"/>
      <c r="G6" s="33"/>
      <c r="H6" s="33"/>
      <c r="I6" s="35"/>
      <c r="AY6" s="8" t="s">
        <v>410</v>
      </c>
    </row>
    <row r="7" spans="1:51">
      <c r="A7" s="33"/>
      <c r="B7" s="34"/>
      <c r="C7" s="33"/>
      <c r="D7" s="33"/>
      <c r="E7" s="33"/>
      <c r="F7" s="33"/>
      <c r="G7" s="33"/>
      <c r="H7" s="33"/>
      <c r="I7" s="35"/>
      <c r="AY7" s="8" t="s">
        <v>411</v>
      </c>
    </row>
    <row r="8" spans="1:51">
      <c r="A8" s="33"/>
      <c r="B8" s="34"/>
      <c r="C8" s="33"/>
      <c r="D8" s="33"/>
      <c r="E8" s="33"/>
      <c r="F8" s="33"/>
      <c r="G8" s="33"/>
      <c r="H8" s="33"/>
      <c r="I8" s="36"/>
    </row>
    <row r="9" spans="1:51" ht="19">
      <c r="A9" s="37"/>
      <c r="B9" s="37"/>
      <c r="C9" s="37"/>
      <c r="D9" s="37"/>
      <c r="E9" s="37"/>
      <c r="F9" s="37"/>
      <c r="G9" s="37"/>
      <c r="H9" s="37"/>
      <c r="I9" s="37"/>
      <c r="J9" s="731" t="s">
        <v>114</v>
      </c>
      <c r="K9" s="731"/>
      <c r="L9" s="731"/>
      <c r="M9" s="731"/>
      <c r="N9" s="731"/>
      <c r="O9" s="731"/>
      <c r="P9" s="731"/>
      <c r="Q9" s="731"/>
      <c r="R9" s="731"/>
      <c r="S9" s="731"/>
      <c r="T9" s="731"/>
      <c r="U9" s="731"/>
      <c r="V9" s="731"/>
      <c r="W9" s="731"/>
      <c r="X9" s="731"/>
      <c r="Y9" s="731"/>
      <c r="Z9" s="731"/>
      <c r="AA9" s="731"/>
      <c r="AB9" s="731"/>
      <c r="AC9" s="731"/>
      <c r="AD9" s="731"/>
      <c r="AE9" s="731"/>
      <c r="AF9" s="731"/>
      <c r="AG9" s="731"/>
      <c r="AH9" s="731"/>
      <c r="AI9" s="731"/>
      <c r="AJ9" s="731"/>
      <c r="AK9" s="731"/>
      <c r="AL9" s="731"/>
    </row>
    <row r="10" spans="1:51">
      <c r="A10" s="33"/>
      <c r="B10" s="34"/>
      <c r="C10" s="33"/>
      <c r="D10" s="33"/>
      <c r="E10" s="33"/>
      <c r="F10" s="33"/>
      <c r="G10" s="33"/>
      <c r="H10" s="33"/>
      <c r="I10" s="35"/>
    </row>
    <row r="11" spans="1:51" ht="45" customHeight="1">
      <c r="B11" s="38"/>
      <c r="C11" s="38"/>
      <c r="D11" s="38"/>
      <c r="E11" s="38"/>
      <c r="F11" s="38"/>
      <c r="G11" s="38"/>
      <c r="H11" s="38"/>
      <c r="I11" s="38"/>
      <c r="J11" s="38"/>
      <c r="K11" s="38"/>
      <c r="L11" s="730" t="s">
        <v>729</v>
      </c>
      <c r="M11" s="730"/>
      <c r="N11" s="730"/>
      <c r="O11" s="730"/>
      <c r="P11" s="730"/>
      <c r="Q11" s="730"/>
      <c r="R11" s="730"/>
      <c r="S11" s="730"/>
      <c r="T11" s="730"/>
      <c r="U11" s="730"/>
      <c r="V11" s="730"/>
      <c r="W11" s="730"/>
      <c r="X11" s="730"/>
      <c r="Y11" s="730"/>
      <c r="Z11" s="730"/>
      <c r="AA11" s="730"/>
      <c r="AB11" s="730"/>
      <c r="AC11" s="730"/>
      <c r="AD11" s="730"/>
      <c r="AE11" s="730"/>
      <c r="AF11" s="730"/>
      <c r="AG11" s="730"/>
      <c r="AH11" s="730"/>
      <c r="AI11" s="730"/>
      <c r="AJ11" s="730"/>
      <c r="AK11" s="730"/>
      <c r="AL11" s="730"/>
    </row>
    <row r="12" spans="1:51">
      <c r="A12" s="33"/>
      <c r="B12" s="33"/>
      <c r="C12" s="33"/>
      <c r="D12" s="33"/>
      <c r="E12" s="33"/>
      <c r="F12" s="33"/>
      <c r="G12" s="33"/>
      <c r="H12" s="33"/>
      <c r="I12" s="33"/>
    </row>
    <row r="13" spans="1:51">
      <c r="A13" s="33"/>
      <c r="B13" s="33"/>
      <c r="C13" s="33"/>
      <c r="D13" s="33"/>
      <c r="E13" s="33"/>
      <c r="F13" s="33"/>
      <c r="G13" s="33"/>
      <c r="H13" s="33"/>
      <c r="I13" s="33"/>
      <c r="K13" s="735" t="s">
        <v>743</v>
      </c>
      <c r="L13" s="736"/>
      <c r="M13" s="736"/>
      <c r="N13" s="736"/>
      <c r="O13" s="736"/>
      <c r="P13" s="736"/>
      <c r="Q13" s="736"/>
      <c r="R13" s="736"/>
      <c r="S13" s="736"/>
      <c r="T13" s="736"/>
      <c r="U13" s="736"/>
      <c r="V13" s="736"/>
      <c r="W13" s="736"/>
      <c r="X13" s="736"/>
      <c r="Y13" s="737"/>
    </row>
    <row r="14" spans="1:51" ht="13.5" customHeight="1">
      <c r="A14" s="33"/>
      <c r="B14" s="33"/>
      <c r="C14" s="33"/>
      <c r="D14" s="33"/>
      <c r="E14" s="33"/>
      <c r="F14" s="33"/>
      <c r="G14" s="33"/>
      <c r="H14" s="33"/>
      <c r="I14" s="33"/>
      <c r="J14" s="33"/>
      <c r="K14" s="738"/>
      <c r="L14" s="739"/>
      <c r="M14" s="739"/>
      <c r="N14" s="739"/>
      <c r="O14" s="739"/>
      <c r="P14" s="739"/>
      <c r="Q14" s="739"/>
      <c r="R14" s="739"/>
      <c r="S14" s="739"/>
      <c r="T14" s="739"/>
      <c r="U14" s="739"/>
      <c r="V14" s="739"/>
      <c r="W14" s="739"/>
      <c r="X14" s="739"/>
      <c r="Y14" s="740"/>
      <c r="Z14" s="39"/>
      <c r="AA14" s="39"/>
      <c r="AB14" s="39"/>
      <c r="AC14" s="39"/>
      <c r="AD14" s="39"/>
    </row>
    <row r="15" spans="1:51">
      <c r="A15" s="33"/>
      <c r="B15" s="33"/>
      <c r="C15" s="33"/>
      <c r="D15" s="33"/>
      <c r="E15" s="33"/>
      <c r="F15" s="33"/>
      <c r="G15" s="33"/>
      <c r="H15" s="33"/>
      <c r="I15" s="33"/>
      <c r="J15" s="33"/>
      <c r="K15" s="738"/>
      <c r="L15" s="739"/>
      <c r="M15" s="739"/>
      <c r="N15" s="739"/>
      <c r="O15" s="739"/>
      <c r="P15" s="739"/>
      <c r="Q15" s="739"/>
      <c r="R15" s="739"/>
      <c r="S15" s="739"/>
      <c r="T15" s="739"/>
      <c r="U15" s="739"/>
      <c r="V15" s="739"/>
      <c r="W15" s="739"/>
      <c r="X15" s="739"/>
      <c r="Y15" s="740"/>
      <c r="Z15" s="39"/>
      <c r="AA15" s="39"/>
      <c r="AB15" s="39"/>
      <c r="AC15" s="39"/>
      <c r="AD15" s="39"/>
    </row>
    <row r="16" spans="1:51">
      <c r="A16" s="33"/>
      <c r="B16" s="33"/>
      <c r="C16" s="33"/>
      <c r="D16" s="33"/>
      <c r="E16" s="33"/>
      <c r="F16" s="33"/>
      <c r="G16" s="33"/>
      <c r="H16" s="33"/>
      <c r="I16" s="33"/>
      <c r="J16" s="33"/>
      <c r="K16" s="738"/>
      <c r="L16" s="739"/>
      <c r="M16" s="739"/>
      <c r="N16" s="739"/>
      <c r="O16" s="739"/>
      <c r="P16" s="739"/>
      <c r="Q16" s="739"/>
      <c r="R16" s="739"/>
      <c r="S16" s="739"/>
      <c r="T16" s="739"/>
      <c r="U16" s="739"/>
      <c r="V16" s="739"/>
      <c r="W16" s="739"/>
      <c r="X16" s="739"/>
      <c r="Y16" s="740"/>
      <c r="Z16" s="39"/>
      <c r="AA16" s="39"/>
      <c r="AB16" s="39"/>
      <c r="AC16" s="39"/>
      <c r="AD16" s="39"/>
    </row>
    <row r="17" spans="1:30">
      <c r="A17" s="33"/>
      <c r="B17" s="33"/>
      <c r="C17" s="33"/>
      <c r="D17" s="33"/>
      <c r="E17" s="33"/>
      <c r="F17" s="33"/>
      <c r="G17" s="33"/>
      <c r="H17" s="33"/>
      <c r="I17" s="33"/>
      <c r="J17" s="33"/>
      <c r="K17" s="738"/>
      <c r="L17" s="739"/>
      <c r="M17" s="739"/>
      <c r="N17" s="739"/>
      <c r="O17" s="739"/>
      <c r="P17" s="739"/>
      <c r="Q17" s="739"/>
      <c r="R17" s="739"/>
      <c r="S17" s="739"/>
      <c r="T17" s="739"/>
      <c r="U17" s="739"/>
      <c r="V17" s="739"/>
      <c r="W17" s="739"/>
      <c r="X17" s="739"/>
      <c r="Y17" s="740"/>
      <c r="Z17" s="39"/>
      <c r="AA17" s="39"/>
      <c r="AB17" s="39"/>
      <c r="AC17" s="39"/>
      <c r="AD17" s="39"/>
    </row>
    <row r="18" spans="1:30">
      <c r="A18" s="33"/>
      <c r="B18" s="33"/>
      <c r="C18" s="33"/>
      <c r="D18" s="33"/>
      <c r="E18" s="33"/>
      <c r="F18" s="33"/>
      <c r="G18" s="33"/>
      <c r="H18" s="33"/>
      <c r="I18" s="33"/>
      <c r="J18" s="33"/>
      <c r="K18" s="741"/>
      <c r="L18" s="742"/>
      <c r="M18" s="742"/>
      <c r="N18" s="742"/>
      <c r="O18" s="742"/>
      <c r="P18" s="742"/>
      <c r="Q18" s="742"/>
      <c r="R18" s="742"/>
      <c r="S18" s="742"/>
      <c r="T18" s="742"/>
      <c r="U18" s="742"/>
      <c r="V18" s="742"/>
      <c r="W18" s="742"/>
      <c r="X18" s="742"/>
      <c r="Y18" s="743"/>
      <c r="Z18" s="39"/>
      <c r="AA18" s="39"/>
      <c r="AB18" s="39"/>
      <c r="AC18" s="39"/>
      <c r="AD18" s="39"/>
    </row>
    <row r="19" spans="1:30">
      <c r="A19" s="33"/>
      <c r="B19" s="33"/>
      <c r="C19" s="33"/>
      <c r="D19" s="33"/>
      <c r="E19" s="33"/>
      <c r="F19" s="33"/>
      <c r="G19" s="33"/>
      <c r="H19" s="33"/>
      <c r="I19" s="33"/>
      <c r="J19" s="33"/>
      <c r="K19" s="33"/>
      <c r="L19" s="33"/>
      <c r="M19" s="33"/>
      <c r="N19" s="33"/>
      <c r="O19" s="33"/>
      <c r="P19" s="33"/>
    </row>
    <row r="20" spans="1:30">
      <c r="A20" s="33"/>
      <c r="B20" s="33"/>
      <c r="C20" s="33"/>
      <c r="D20" s="33"/>
      <c r="E20" s="33"/>
      <c r="F20" s="33"/>
      <c r="G20" s="33"/>
      <c r="H20" s="33"/>
      <c r="I20" s="33"/>
      <c r="J20" s="33"/>
      <c r="K20" s="33"/>
      <c r="L20" s="33"/>
      <c r="M20" s="33"/>
      <c r="N20" s="33"/>
      <c r="O20" s="33"/>
      <c r="P20" s="33"/>
    </row>
    <row r="21" spans="1:30">
      <c r="A21" s="33"/>
      <c r="B21" s="33"/>
      <c r="C21" s="33"/>
      <c r="D21" s="33"/>
      <c r="E21" s="33"/>
      <c r="F21" s="33"/>
      <c r="G21" s="33"/>
      <c r="H21" s="33"/>
      <c r="I21" s="33"/>
      <c r="J21" s="33"/>
      <c r="K21" s="33"/>
      <c r="L21" s="33"/>
      <c r="M21" s="33"/>
      <c r="N21" s="33"/>
      <c r="O21" s="33"/>
      <c r="P21" s="33"/>
    </row>
    <row r="22" spans="1:30" ht="13.5" customHeight="1">
      <c r="A22" s="33"/>
      <c r="B22" s="33"/>
      <c r="C22" s="33"/>
      <c r="D22" s="33"/>
      <c r="E22" s="33"/>
      <c r="F22" s="33"/>
      <c r="G22" s="33"/>
      <c r="H22" s="33"/>
      <c r="I22" s="33"/>
      <c r="J22" s="33"/>
      <c r="K22" s="735" t="s">
        <v>711</v>
      </c>
      <c r="L22" s="736"/>
      <c r="M22" s="736"/>
      <c r="N22" s="736"/>
      <c r="O22" s="736"/>
      <c r="P22" s="736"/>
      <c r="Q22" s="736"/>
      <c r="R22" s="736"/>
      <c r="S22" s="736"/>
      <c r="T22" s="736"/>
      <c r="U22" s="736"/>
      <c r="V22" s="736"/>
      <c r="W22" s="736"/>
      <c r="X22" s="736"/>
      <c r="Y22" s="737"/>
      <c r="Z22" s="39"/>
      <c r="AA22" s="39"/>
      <c r="AB22" s="39"/>
      <c r="AC22" s="39"/>
      <c r="AD22" s="39"/>
    </row>
    <row r="23" spans="1:30">
      <c r="A23" s="33"/>
      <c r="B23" s="33"/>
      <c r="C23" s="33"/>
      <c r="D23" s="33"/>
      <c r="E23" s="33"/>
      <c r="F23" s="33"/>
      <c r="G23" s="33"/>
      <c r="H23" s="33"/>
      <c r="I23" s="33"/>
      <c r="J23" s="33"/>
      <c r="K23" s="738"/>
      <c r="L23" s="739"/>
      <c r="M23" s="739"/>
      <c r="N23" s="739"/>
      <c r="O23" s="739"/>
      <c r="P23" s="739"/>
      <c r="Q23" s="739"/>
      <c r="R23" s="739"/>
      <c r="S23" s="739"/>
      <c r="T23" s="739"/>
      <c r="U23" s="739"/>
      <c r="V23" s="739"/>
      <c r="W23" s="739"/>
      <c r="X23" s="739"/>
      <c r="Y23" s="740"/>
      <c r="Z23" s="39"/>
      <c r="AA23" s="39"/>
      <c r="AB23" s="39"/>
      <c r="AC23" s="39"/>
      <c r="AD23" s="39"/>
    </row>
    <row r="24" spans="1:30">
      <c r="A24" s="33"/>
      <c r="B24" s="33"/>
      <c r="C24" s="33"/>
      <c r="D24" s="33"/>
      <c r="E24" s="33"/>
      <c r="F24" s="33"/>
      <c r="G24" s="33"/>
      <c r="H24" s="33"/>
      <c r="I24" s="33"/>
      <c r="J24" s="33"/>
      <c r="K24" s="738"/>
      <c r="L24" s="739"/>
      <c r="M24" s="739"/>
      <c r="N24" s="739"/>
      <c r="O24" s="739"/>
      <c r="P24" s="739"/>
      <c r="Q24" s="739"/>
      <c r="R24" s="739"/>
      <c r="S24" s="739"/>
      <c r="T24" s="739"/>
      <c r="U24" s="739"/>
      <c r="V24" s="739"/>
      <c r="W24" s="739"/>
      <c r="X24" s="739"/>
      <c r="Y24" s="740"/>
      <c r="Z24" s="39"/>
      <c r="AA24" s="39"/>
      <c r="AB24" s="39"/>
      <c r="AC24" s="39"/>
      <c r="AD24" s="39"/>
    </row>
    <row r="25" spans="1:30">
      <c r="A25" s="33"/>
      <c r="B25" s="33"/>
      <c r="C25" s="33"/>
      <c r="D25" s="33"/>
      <c r="E25" s="33"/>
      <c r="F25" s="33"/>
      <c r="G25" s="33"/>
      <c r="H25" s="33"/>
      <c r="I25" s="33"/>
      <c r="J25" s="33"/>
      <c r="K25" s="738"/>
      <c r="L25" s="739"/>
      <c r="M25" s="739"/>
      <c r="N25" s="739"/>
      <c r="O25" s="739"/>
      <c r="P25" s="739"/>
      <c r="Q25" s="739"/>
      <c r="R25" s="739"/>
      <c r="S25" s="739"/>
      <c r="T25" s="739"/>
      <c r="U25" s="739"/>
      <c r="V25" s="739"/>
      <c r="W25" s="739"/>
      <c r="X25" s="739"/>
      <c r="Y25" s="740"/>
      <c r="Z25" s="39"/>
      <c r="AA25" s="39"/>
      <c r="AB25" s="39"/>
      <c r="AC25" s="39"/>
      <c r="AD25" s="39"/>
    </row>
    <row r="26" spans="1:30">
      <c r="A26" s="33"/>
      <c r="B26" s="33"/>
      <c r="C26" s="33"/>
      <c r="D26" s="33"/>
      <c r="E26" s="33"/>
      <c r="F26" s="33"/>
      <c r="G26" s="33"/>
      <c r="H26" s="33"/>
      <c r="I26" s="33"/>
      <c r="J26" s="33"/>
      <c r="K26" s="738"/>
      <c r="L26" s="739"/>
      <c r="M26" s="739"/>
      <c r="N26" s="739"/>
      <c r="O26" s="739"/>
      <c r="P26" s="739"/>
      <c r="Q26" s="739"/>
      <c r="R26" s="739"/>
      <c r="S26" s="739"/>
      <c r="T26" s="739"/>
      <c r="U26" s="739"/>
      <c r="V26" s="739"/>
      <c r="W26" s="739"/>
      <c r="X26" s="739"/>
      <c r="Y26" s="740"/>
      <c r="Z26" s="39"/>
      <c r="AA26" s="39"/>
      <c r="AB26" s="39"/>
      <c r="AC26" s="39"/>
      <c r="AD26" s="39"/>
    </row>
    <row r="27" spans="1:30">
      <c r="A27" s="33"/>
      <c r="B27" s="33"/>
      <c r="C27" s="33"/>
      <c r="D27" s="33"/>
      <c r="E27" s="33"/>
      <c r="F27" s="33"/>
      <c r="G27" s="33"/>
      <c r="H27" s="33"/>
      <c r="I27" s="33"/>
      <c r="J27" s="33"/>
      <c r="K27" s="741"/>
      <c r="L27" s="742"/>
      <c r="M27" s="742"/>
      <c r="N27" s="742"/>
      <c r="O27" s="742"/>
      <c r="P27" s="742"/>
      <c r="Q27" s="742"/>
      <c r="R27" s="742"/>
      <c r="S27" s="742"/>
      <c r="T27" s="742"/>
      <c r="U27" s="742"/>
      <c r="V27" s="742"/>
      <c r="W27" s="742"/>
      <c r="X27" s="742"/>
      <c r="Y27" s="743"/>
      <c r="Z27" s="39"/>
      <c r="AA27" s="39"/>
      <c r="AB27" s="39"/>
      <c r="AC27" s="39"/>
      <c r="AD27" s="39"/>
    </row>
    <row r="28" spans="1:30">
      <c r="A28" s="33"/>
      <c r="B28" s="33"/>
      <c r="C28" s="33"/>
      <c r="D28" s="33"/>
      <c r="E28" s="33"/>
      <c r="F28" s="33"/>
      <c r="G28" s="33"/>
      <c r="H28" s="33"/>
      <c r="I28" s="33"/>
      <c r="J28" s="33"/>
      <c r="K28" s="33"/>
      <c r="L28" s="40"/>
      <c r="M28" s="40"/>
      <c r="N28" s="40"/>
      <c r="O28" s="40"/>
      <c r="P28" s="40"/>
    </row>
    <row r="29" spans="1:30">
      <c r="A29" s="33"/>
      <c r="B29" s="33"/>
      <c r="C29" s="33"/>
      <c r="D29" s="33"/>
      <c r="E29" s="33"/>
      <c r="F29" s="33"/>
      <c r="G29" s="33"/>
      <c r="H29" s="33"/>
      <c r="I29" s="33"/>
      <c r="J29" s="33"/>
      <c r="K29" s="33"/>
      <c r="L29" s="33"/>
      <c r="M29" s="33"/>
      <c r="N29" s="33"/>
      <c r="O29" s="33"/>
      <c r="P29" s="33"/>
    </row>
    <row r="30" spans="1:30">
      <c r="A30" s="33"/>
      <c r="B30" s="33"/>
      <c r="C30" s="33"/>
      <c r="D30" s="33"/>
      <c r="E30" s="33"/>
      <c r="F30" s="33"/>
      <c r="G30" s="33"/>
      <c r="H30" s="33"/>
      <c r="I30" s="33"/>
      <c r="J30" s="33"/>
      <c r="K30" s="33"/>
      <c r="L30" s="33"/>
      <c r="M30" s="33"/>
      <c r="N30" s="33"/>
      <c r="O30" s="33"/>
      <c r="P30" s="33"/>
    </row>
    <row r="31" spans="1:30" ht="13.5" customHeight="1">
      <c r="A31" s="33"/>
      <c r="B31" s="33"/>
      <c r="C31" s="33"/>
      <c r="D31" s="33"/>
      <c r="E31" s="33"/>
      <c r="F31" s="33"/>
      <c r="G31" s="33"/>
      <c r="H31" s="33"/>
      <c r="I31" s="33"/>
      <c r="J31" s="33"/>
      <c r="K31" s="735" t="s">
        <v>439</v>
      </c>
      <c r="L31" s="736"/>
      <c r="M31" s="736"/>
      <c r="N31" s="736"/>
      <c r="O31" s="736"/>
      <c r="P31" s="736"/>
      <c r="Q31" s="736"/>
      <c r="R31" s="736"/>
      <c r="S31" s="736"/>
      <c r="T31" s="736"/>
      <c r="U31" s="736"/>
      <c r="V31" s="736"/>
      <c r="W31" s="736"/>
      <c r="X31" s="736"/>
      <c r="Y31" s="737"/>
      <c r="Z31" s="39"/>
      <c r="AA31" s="39"/>
      <c r="AB31" s="39"/>
      <c r="AC31" s="39"/>
      <c r="AD31" s="39"/>
    </row>
    <row r="32" spans="1:30">
      <c r="A32" s="33"/>
      <c r="B32" s="33"/>
      <c r="C32" s="33"/>
      <c r="D32" s="33"/>
      <c r="E32" s="33"/>
      <c r="F32" s="33"/>
      <c r="G32" s="33"/>
      <c r="H32" s="33"/>
      <c r="I32" s="33"/>
      <c r="J32" s="33"/>
      <c r="K32" s="738"/>
      <c r="L32" s="739"/>
      <c r="M32" s="739"/>
      <c r="N32" s="739"/>
      <c r="O32" s="739"/>
      <c r="P32" s="739"/>
      <c r="Q32" s="739"/>
      <c r="R32" s="739"/>
      <c r="S32" s="739"/>
      <c r="T32" s="739"/>
      <c r="U32" s="739"/>
      <c r="V32" s="739"/>
      <c r="W32" s="739"/>
      <c r="X32" s="739"/>
      <c r="Y32" s="740"/>
      <c r="Z32" s="39"/>
      <c r="AA32" s="39"/>
      <c r="AB32" s="39"/>
      <c r="AC32" s="39"/>
      <c r="AD32" s="39"/>
    </row>
    <row r="33" spans="1:30">
      <c r="A33" s="33"/>
      <c r="B33" s="33"/>
      <c r="C33" s="33"/>
      <c r="D33" s="33"/>
      <c r="E33" s="33"/>
      <c r="F33" s="33"/>
      <c r="G33" s="33"/>
      <c r="H33" s="33"/>
      <c r="I33" s="33"/>
      <c r="J33" s="33"/>
      <c r="K33" s="738"/>
      <c r="L33" s="739"/>
      <c r="M33" s="739"/>
      <c r="N33" s="739"/>
      <c r="O33" s="739"/>
      <c r="P33" s="739"/>
      <c r="Q33" s="739"/>
      <c r="R33" s="739"/>
      <c r="S33" s="739"/>
      <c r="T33" s="739"/>
      <c r="U33" s="739"/>
      <c r="V33" s="739"/>
      <c r="W33" s="739"/>
      <c r="X33" s="739"/>
      <c r="Y33" s="740"/>
      <c r="Z33" s="39"/>
      <c r="AA33" s="39"/>
      <c r="AB33" s="39"/>
      <c r="AC33" s="39"/>
      <c r="AD33" s="39"/>
    </row>
    <row r="34" spans="1:30">
      <c r="A34" s="33"/>
      <c r="B34" s="33"/>
      <c r="C34" s="33"/>
      <c r="D34" s="33"/>
      <c r="E34" s="33"/>
      <c r="F34" s="33"/>
      <c r="G34" s="33"/>
      <c r="H34" s="33"/>
      <c r="I34" s="33"/>
      <c r="J34" s="33"/>
      <c r="K34" s="738"/>
      <c r="L34" s="739"/>
      <c r="M34" s="739"/>
      <c r="N34" s="739"/>
      <c r="O34" s="739"/>
      <c r="P34" s="739"/>
      <c r="Q34" s="739"/>
      <c r="R34" s="739"/>
      <c r="S34" s="739"/>
      <c r="T34" s="739"/>
      <c r="U34" s="739"/>
      <c r="V34" s="739"/>
      <c r="W34" s="739"/>
      <c r="X34" s="739"/>
      <c r="Y34" s="740"/>
      <c r="Z34" s="39"/>
      <c r="AA34" s="39"/>
      <c r="AB34" s="39"/>
      <c r="AC34" s="39"/>
      <c r="AD34" s="39"/>
    </row>
    <row r="35" spans="1:30">
      <c r="A35" s="33"/>
      <c r="B35" s="33"/>
      <c r="C35" s="33"/>
      <c r="D35" s="33"/>
      <c r="E35" s="33"/>
      <c r="F35" s="33"/>
      <c r="G35" s="33"/>
      <c r="H35" s="33"/>
      <c r="I35" s="33"/>
      <c r="J35" s="33"/>
      <c r="K35" s="741"/>
      <c r="L35" s="742"/>
      <c r="M35" s="742"/>
      <c r="N35" s="742"/>
      <c r="O35" s="742"/>
      <c r="P35" s="742"/>
      <c r="Q35" s="742"/>
      <c r="R35" s="742"/>
      <c r="S35" s="742"/>
      <c r="T35" s="742"/>
      <c r="U35" s="742"/>
      <c r="V35" s="742"/>
      <c r="W35" s="742"/>
      <c r="X35" s="742"/>
      <c r="Y35" s="743"/>
      <c r="Z35" s="39"/>
      <c r="AA35" s="39"/>
      <c r="AB35" s="39"/>
      <c r="AC35" s="39"/>
      <c r="AD35" s="39"/>
    </row>
    <row r="36" spans="1:30">
      <c r="A36" s="33"/>
      <c r="B36" s="33"/>
      <c r="C36" s="33"/>
      <c r="D36" s="33"/>
      <c r="E36" s="33"/>
      <c r="F36" s="33"/>
      <c r="G36" s="33"/>
      <c r="H36" s="33"/>
      <c r="I36" s="33"/>
      <c r="J36" s="33"/>
      <c r="K36" s="33"/>
      <c r="L36" s="40"/>
      <c r="M36" s="40"/>
      <c r="N36" s="40"/>
      <c r="O36" s="40"/>
      <c r="P36" s="40"/>
    </row>
    <row r="37" spans="1:30">
      <c r="A37" s="33"/>
      <c r="B37" s="33"/>
      <c r="C37" s="33"/>
      <c r="D37" s="33"/>
      <c r="E37" s="33"/>
      <c r="F37" s="33"/>
      <c r="G37" s="33"/>
      <c r="H37" s="33"/>
      <c r="I37" s="33"/>
      <c r="J37" s="33"/>
      <c r="K37" s="33"/>
      <c r="L37" s="33"/>
      <c r="M37" s="33"/>
      <c r="N37" s="33"/>
      <c r="O37" s="33"/>
      <c r="P37" s="33"/>
    </row>
    <row r="38" spans="1:30">
      <c r="A38" s="33"/>
      <c r="B38" s="33"/>
      <c r="C38" s="33"/>
      <c r="D38" s="33"/>
      <c r="E38" s="33"/>
      <c r="F38" s="33"/>
      <c r="G38" s="33"/>
      <c r="H38" s="33"/>
      <c r="I38" s="33"/>
      <c r="J38" s="33"/>
      <c r="K38" s="33"/>
      <c r="L38" s="33"/>
      <c r="M38" s="33"/>
      <c r="N38" s="33"/>
      <c r="O38" s="33"/>
      <c r="P38" s="33"/>
    </row>
    <row r="39" spans="1:30" ht="13.5" customHeight="1">
      <c r="A39" s="33"/>
      <c r="B39" s="33"/>
      <c r="C39" s="33"/>
      <c r="D39" s="33"/>
      <c r="E39" s="33"/>
      <c r="F39" s="33"/>
      <c r="G39" s="33"/>
      <c r="H39" s="33"/>
      <c r="I39" s="33"/>
      <c r="J39" s="33"/>
      <c r="K39" s="735" t="s">
        <v>712</v>
      </c>
      <c r="L39" s="736"/>
      <c r="M39" s="736"/>
      <c r="N39" s="736"/>
      <c r="O39" s="736"/>
      <c r="P39" s="736"/>
      <c r="Q39" s="736"/>
      <c r="R39" s="736"/>
      <c r="S39" s="736"/>
      <c r="T39" s="736"/>
      <c r="U39" s="736"/>
      <c r="V39" s="736"/>
      <c r="W39" s="736"/>
      <c r="X39" s="736"/>
      <c r="Y39" s="737"/>
      <c r="Z39" s="39"/>
      <c r="AA39" s="39"/>
      <c r="AB39" s="39"/>
      <c r="AC39" s="39"/>
      <c r="AD39" s="39"/>
    </row>
    <row r="40" spans="1:30">
      <c r="A40" s="33"/>
      <c r="B40" s="33"/>
      <c r="C40" s="33"/>
      <c r="D40" s="33"/>
      <c r="E40" s="33"/>
      <c r="F40" s="33"/>
      <c r="G40" s="33"/>
      <c r="H40" s="33"/>
      <c r="I40" s="33"/>
      <c r="J40" s="33"/>
      <c r="K40" s="738"/>
      <c r="L40" s="739"/>
      <c r="M40" s="739"/>
      <c r="N40" s="739"/>
      <c r="O40" s="739"/>
      <c r="P40" s="739"/>
      <c r="Q40" s="739"/>
      <c r="R40" s="739"/>
      <c r="S40" s="739"/>
      <c r="T40" s="739"/>
      <c r="U40" s="739"/>
      <c r="V40" s="739"/>
      <c r="W40" s="739"/>
      <c r="X40" s="739"/>
      <c r="Y40" s="740"/>
      <c r="Z40" s="39"/>
      <c r="AA40" s="39"/>
      <c r="AB40" s="39"/>
      <c r="AC40" s="39"/>
      <c r="AD40" s="39"/>
    </row>
    <row r="41" spans="1:30">
      <c r="A41" s="33"/>
      <c r="B41" s="33"/>
      <c r="C41" s="33"/>
      <c r="D41" s="33"/>
      <c r="E41" s="33"/>
      <c r="F41" s="33"/>
      <c r="G41" s="33"/>
      <c r="H41" s="33"/>
      <c r="I41" s="33"/>
      <c r="J41" s="33"/>
      <c r="K41" s="738"/>
      <c r="L41" s="739"/>
      <c r="M41" s="739"/>
      <c r="N41" s="739"/>
      <c r="O41" s="739"/>
      <c r="P41" s="739"/>
      <c r="Q41" s="739"/>
      <c r="R41" s="739"/>
      <c r="S41" s="739"/>
      <c r="T41" s="739"/>
      <c r="U41" s="739"/>
      <c r="V41" s="739"/>
      <c r="W41" s="739"/>
      <c r="X41" s="739"/>
      <c r="Y41" s="740"/>
      <c r="Z41" s="39"/>
      <c r="AA41" s="39"/>
      <c r="AB41" s="39"/>
      <c r="AC41" s="39"/>
      <c r="AD41" s="39"/>
    </row>
    <row r="42" spans="1:30">
      <c r="A42" s="33"/>
      <c r="B42" s="33"/>
      <c r="C42" s="33"/>
      <c r="D42" s="33"/>
      <c r="E42" s="33"/>
      <c r="F42" s="33"/>
      <c r="G42" s="33"/>
      <c r="H42" s="33"/>
      <c r="I42" s="33"/>
      <c r="J42" s="33"/>
      <c r="K42" s="738"/>
      <c r="L42" s="739"/>
      <c r="M42" s="739"/>
      <c r="N42" s="739"/>
      <c r="O42" s="739"/>
      <c r="P42" s="739"/>
      <c r="Q42" s="739"/>
      <c r="R42" s="739"/>
      <c r="S42" s="739"/>
      <c r="T42" s="739"/>
      <c r="U42" s="739"/>
      <c r="V42" s="739"/>
      <c r="W42" s="739"/>
      <c r="X42" s="739"/>
      <c r="Y42" s="740"/>
      <c r="Z42" s="39"/>
      <c r="AA42" s="39"/>
      <c r="AB42" s="39"/>
      <c r="AC42" s="39"/>
      <c r="AD42" s="39"/>
    </row>
    <row r="43" spans="1:30">
      <c r="A43" s="33"/>
      <c r="B43" s="33"/>
      <c r="C43" s="33"/>
      <c r="D43" s="33"/>
      <c r="E43" s="33"/>
      <c r="F43" s="33"/>
      <c r="G43" s="33"/>
      <c r="H43" s="33"/>
      <c r="I43" s="33"/>
      <c r="J43" s="33"/>
      <c r="K43" s="738"/>
      <c r="L43" s="739"/>
      <c r="M43" s="739"/>
      <c r="N43" s="739"/>
      <c r="O43" s="739"/>
      <c r="P43" s="739"/>
      <c r="Q43" s="739"/>
      <c r="R43" s="739"/>
      <c r="S43" s="739"/>
      <c r="T43" s="739"/>
      <c r="U43" s="739"/>
      <c r="V43" s="739"/>
      <c r="W43" s="739"/>
      <c r="X43" s="739"/>
      <c r="Y43" s="740"/>
      <c r="Z43" s="39"/>
      <c r="AA43" s="39"/>
      <c r="AB43" s="39"/>
      <c r="AC43" s="39"/>
      <c r="AD43" s="39"/>
    </row>
    <row r="44" spans="1:30">
      <c r="A44" s="33"/>
      <c r="B44" s="33"/>
      <c r="C44" s="33"/>
      <c r="D44" s="33"/>
      <c r="E44" s="33"/>
      <c r="F44" s="33"/>
      <c r="G44" s="33"/>
      <c r="H44" s="33"/>
      <c r="I44" s="33"/>
      <c r="J44" s="33"/>
      <c r="K44" s="741"/>
      <c r="L44" s="742"/>
      <c r="M44" s="742"/>
      <c r="N44" s="742"/>
      <c r="O44" s="742"/>
      <c r="P44" s="742"/>
      <c r="Q44" s="742"/>
      <c r="R44" s="742"/>
      <c r="S44" s="742"/>
      <c r="T44" s="742"/>
      <c r="U44" s="742"/>
      <c r="V44" s="742"/>
      <c r="W44" s="742"/>
      <c r="X44" s="742"/>
      <c r="Y44" s="743"/>
    </row>
    <row r="45" spans="1:30">
      <c r="A45" s="33"/>
      <c r="B45" s="33"/>
      <c r="C45" s="33"/>
      <c r="D45" s="33"/>
      <c r="E45" s="33"/>
      <c r="F45" s="33"/>
      <c r="G45" s="33"/>
      <c r="H45" s="33"/>
      <c r="I45" s="33"/>
      <c r="J45" s="33"/>
      <c r="K45" s="33"/>
      <c r="L45" s="33"/>
      <c r="M45" s="33"/>
      <c r="N45" s="33"/>
      <c r="O45" s="33"/>
      <c r="P45" s="33"/>
    </row>
    <row r="46" spans="1:30">
      <c r="A46" s="33"/>
      <c r="B46" s="33"/>
      <c r="C46" s="33"/>
      <c r="D46" s="33"/>
      <c r="E46" s="33"/>
      <c r="F46" s="33"/>
      <c r="G46" s="33"/>
      <c r="H46" s="33"/>
      <c r="I46" s="33"/>
      <c r="J46" s="33"/>
      <c r="K46" s="33"/>
      <c r="L46" s="33"/>
      <c r="M46" s="33"/>
      <c r="N46" s="33"/>
      <c r="O46" s="33"/>
      <c r="P46" s="33"/>
    </row>
    <row r="47" spans="1:30">
      <c r="A47" s="33"/>
      <c r="B47" s="33"/>
      <c r="C47" s="33"/>
      <c r="D47" s="33"/>
      <c r="E47" s="33"/>
      <c r="F47" s="33"/>
      <c r="G47" s="33"/>
      <c r="H47" s="33"/>
      <c r="I47" s="33"/>
      <c r="J47" s="33"/>
      <c r="K47" s="33"/>
      <c r="L47" s="33"/>
      <c r="M47" s="33"/>
      <c r="N47" s="33"/>
      <c r="O47" s="33"/>
      <c r="P47" s="33"/>
    </row>
    <row r="48" spans="1:30" ht="13.5" customHeight="1">
      <c r="A48" s="33"/>
      <c r="B48" s="33"/>
      <c r="C48" s="33"/>
      <c r="D48" s="33"/>
      <c r="E48" s="33"/>
      <c r="F48" s="33"/>
      <c r="G48" s="33"/>
      <c r="H48" s="33"/>
      <c r="I48" s="33"/>
      <c r="J48" s="33"/>
      <c r="K48" s="735" t="s">
        <v>412</v>
      </c>
      <c r="L48" s="736"/>
      <c r="M48" s="736"/>
      <c r="N48" s="736"/>
      <c r="O48" s="736"/>
      <c r="P48" s="736"/>
      <c r="Q48" s="736"/>
      <c r="R48" s="736"/>
      <c r="S48" s="736"/>
      <c r="T48" s="736"/>
      <c r="U48" s="736"/>
      <c r="V48" s="736"/>
      <c r="W48" s="736"/>
      <c r="X48" s="736"/>
      <c r="Y48" s="737"/>
      <c r="Z48" s="39"/>
      <c r="AA48" s="39"/>
      <c r="AB48" s="39"/>
      <c r="AC48" s="39"/>
      <c r="AD48" s="39"/>
    </row>
    <row r="49" spans="1:48">
      <c r="A49" s="33"/>
      <c r="B49" s="33"/>
      <c r="C49" s="33"/>
      <c r="D49" s="33"/>
      <c r="E49" s="33"/>
      <c r="F49" s="33"/>
      <c r="G49" s="33"/>
      <c r="H49" s="33"/>
      <c r="I49" s="33"/>
      <c r="J49" s="33"/>
      <c r="K49" s="738"/>
      <c r="L49" s="739"/>
      <c r="M49" s="739"/>
      <c r="N49" s="739"/>
      <c r="O49" s="739"/>
      <c r="P49" s="739"/>
      <c r="Q49" s="739"/>
      <c r="R49" s="739"/>
      <c r="S49" s="739"/>
      <c r="T49" s="739"/>
      <c r="U49" s="739"/>
      <c r="V49" s="739"/>
      <c r="W49" s="739"/>
      <c r="X49" s="739"/>
      <c r="Y49" s="740"/>
      <c r="Z49" s="39"/>
      <c r="AA49" s="39"/>
      <c r="AB49" s="39"/>
      <c r="AC49" s="39"/>
      <c r="AD49" s="39"/>
    </row>
    <row r="50" spans="1:48">
      <c r="A50" s="33"/>
      <c r="B50" s="33"/>
      <c r="C50" s="33"/>
      <c r="D50" s="33"/>
      <c r="E50" s="33"/>
      <c r="F50" s="33"/>
      <c r="G50" s="33"/>
      <c r="H50" s="33"/>
      <c r="I50" s="33"/>
      <c r="J50" s="33"/>
      <c r="K50" s="741"/>
      <c r="L50" s="742"/>
      <c r="M50" s="742"/>
      <c r="N50" s="742"/>
      <c r="O50" s="742"/>
      <c r="P50" s="742"/>
      <c r="Q50" s="742"/>
      <c r="R50" s="742"/>
      <c r="S50" s="742"/>
      <c r="T50" s="742"/>
      <c r="U50" s="742"/>
      <c r="V50" s="742"/>
      <c r="W50" s="742"/>
      <c r="X50" s="742"/>
      <c r="Y50" s="743"/>
      <c r="Z50" s="39"/>
      <c r="AA50" s="39"/>
      <c r="AB50" s="39"/>
      <c r="AC50" s="39"/>
      <c r="AD50" s="39"/>
    </row>
    <row r="51" spans="1:48">
      <c r="A51" s="33"/>
      <c r="B51" s="33"/>
      <c r="C51" s="33"/>
      <c r="D51" s="33"/>
      <c r="E51" s="33"/>
      <c r="F51" s="33"/>
      <c r="G51" s="33"/>
      <c r="H51" s="33"/>
      <c r="I51" s="33"/>
      <c r="J51" s="33"/>
      <c r="K51" s="33"/>
      <c r="L51" s="40"/>
      <c r="M51" s="40"/>
      <c r="N51" s="40"/>
      <c r="O51" s="40"/>
      <c r="P51" s="40"/>
    </row>
    <row r="58" spans="1:48" ht="13.5" thickBot="1"/>
    <row r="59" spans="1:48" ht="13.5" customHeight="1">
      <c r="C59" s="497" t="s">
        <v>744</v>
      </c>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9"/>
    </row>
    <row r="60" spans="1:48">
      <c r="C60" s="500"/>
      <c r="D60" s="501"/>
      <c r="E60" s="501"/>
      <c r="F60" s="501"/>
      <c r="G60" s="501"/>
      <c r="H60" s="501"/>
      <c r="I60" s="501"/>
      <c r="J60" s="501"/>
      <c r="K60" s="501"/>
      <c r="L60" s="501"/>
      <c r="M60" s="501"/>
      <c r="N60" s="501"/>
      <c r="O60" s="501"/>
      <c r="P60" s="501"/>
      <c r="Q60" s="501"/>
      <c r="R60" s="501"/>
      <c r="S60" s="501"/>
      <c r="T60" s="501"/>
      <c r="U60" s="501"/>
      <c r="V60" s="501"/>
      <c r="W60" s="501"/>
      <c r="X60" s="501"/>
      <c r="Y60" s="501"/>
      <c r="Z60" s="501"/>
      <c r="AA60" s="501"/>
      <c r="AB60" s="501"/>
      <c r="AC60" s="501"/>
      <c r="AD60" s="501"/>
      <c r="AE60" s="501"/>
      <c r="AF60" s="501"/>
      <c r="AG60" s="501"/>
      <c r="AH60" s="501"/>
      <c r="AI60" s="501"/>
      <c r="AJ60" s="501"/>
      <c r="AK60" s="501"/>
      <c r="AL60" s="501"/>
      <c r="AM60" s="501"/>
      <c r="AN60" s="501"/>
      <c r="AO60" s="501"/>
      <c r="AP60" s="501"/>
      <c r="AQ60" s="501"/>
      <c r="AR60" s="501"/>
      <c r="AS60" s="501"/>
      <c r="AT60" s="501"/>
      <c r="AU60" s="501"/>
      <c r="AV60" s="502"/>
    </row>
    <row r="61" spans="1:48">
      <c r="C61" s="500"/>
      <c r="D61" s="501"/>
      <c r="E61" s="501"/>
      <c r="F61" s="501"/>
      <c r="G61" s="501"/>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1"/>
      <c r="AJ61" s="501"/>
      <c r="AK61" s="501"/>
      <c r="AL61" s="501"/>
      <c r="AM61" s="501"/>
      <c r="AN61" s="501"/>
      <c r="AO61" s="501"/>
      <c r="AP61" s="501"/>
      <c r="AQ61" s="501"/>
      <c r="AR61" s="501"/>
      <c r="AS61" s="501"/>
      <c r="AT61" s="501"/>
      <c r="AU61" s="501"/>
      <c r="AV61" s="502"/>
    </row>
    <row r="62" spans="1:48">
      <c r="C62" s="500"/>
      <c r="D62" s="501"/>
      <c r="E62" s="501"/>
      <c r="F62" s="501"/>
      <c r="G62" s="501"/>
      <c r="H62" s="501"/>
      <c r="I62" s="501"/>
      <c r="J62" s="501"/>
      <c r="K62" s="501"/>
      <c r="L62" s="501"/>
      <c r="M62" s="501"/>
      <c r="N62" s="501"/>
      <c r="O62" s="501"/>
      <c r="P62" s="501"/>
      <c r="Q62" s="501"/>
      <c r="R62" s="501"/>
      <c r="S62" s="501"/>
      <c r="T62" s="501"/>
      <c r="U62" s="501"/>
      <c r="V62" s="501"/>
      <c r="W62" s="501"/>
      <c r="X62" s="501"/>
      <c r="Y62" s="501"/>
      <c r="Z62" s="501"/>
      <c r="AA62" s="501"/>
      <c r="AB62" s="501"/>
      <c r="AC62" s="501"/>
      <c r="AD62" s="501"/>
      <c r="AE62" s="501"/>
      <c r="AF62" s="501"/>
      <c r="AG62" s="501"/>
      <c r="AH62" s="501"/>
      <c r="AI62" s="501"/>
      <c r="AJ62" s="501"/>
      <c r="AK62" s="501"/>
      <c r="AL62" s="501"/>
      <c r="AM62" s="501"/>
      <c r="AN62" s="501"/>
      <c r="AO62" s="501"/>
      <c r="AP62" s="501"/>
      <c r="AQ62" s="501"/>
      <c r="AR62" s="501"/>
      <c r="AS62" s="501"/>
      <c r="AT62" s="501"/>
      <c r="AU62" s="501"/>
      <c r="AV62" s="502"/>
    </row>
    <row r="63" spans="1:48">
      <c r="C63" s="500"/>
      <c r="D63" s="501"/>
      <c r="E63" s="501"/>
      <c r="F63" s="501"/>
      <c r="G63" s="501"/>
      <c r="H63" s="501"/>
      <c r="I63" s="501"/>
      <c r="J63" s="501"/>
      <c r="K63" s="501"/>
      <c r="L63" s="501"/>
      <c r="M63" s="501"/>
      <c r="N63" s="501"/>
      <c r="O63" s="501"/>
      <c r="P63" s="501"/>
      <c r="Q63" s="501"/>
      <c r="R63" s="501"/>
      <c r="S63" s="501"/>
      <c r="T63" s="501"/>
      <c r="U63" s="501"/>
      <c r="V63" s="501"/>
      <c r="W63" s="501"/>
      <c r="X63" s="501"/>
      <c r="Y63" s="501"/>
      <c r="Z63" s="501"/>
      <c r="AA63" s="501"/>
      <c r="AB63" s="501"/>
      <c r="AC63" s="501"/>
      <c r="AD63" s="501"/>
      <c r="AE63" s="501"/>
      <c r="AF63" s="501"/>
      <c r="AG63" s="501"/>
      <c r="AH63" s="501"/>
      <c r="AI63" s="501"/>
      <c r="AJ63" s="501"/>
      <c r="AK63" s="501"/>
      <c r="AL63" s="501"/>
      <c r="AM63" s="501"/>
      <c r="AN63" s="501"/>
      <c r="AO63" s="501"/>
      <c r="AP63" s="501"/>
      <c r="AQ63" s="501"/>
      <c r="AR63" s="501"/>
      <c r="AS63" s="501"/>
      <c r="AT63" s="501"/>
      <c r="AU63" s="501"/>
      <c r="AV63" s="502"/>
    </row>
    <row r="64" spans="1:48">
      <c r="C64" s="500"/>
      <c r="D64" s="501"/>
      <c r="E64" s="501"/>
      <c r="F64" s="501"/>
      <c r="G64" s="501"/>
      <c r="H64" s="501"/>
      <c r="I64" s="501"/>
      <c r="J64" s="501"/>
      <c r="K64" s="501"/>
      <c r="L64" s="501"/>
      <c r="M64" s="501"/>
      <c r="N64" s="501"/>
      <c r="O64" s="501"/>
      <c r="P64" s="501"/>
      <c r="Q64" s="501"/>
      <c r="R64" s="501"/>
      <c r="S64" s="501"/>
      <c r="T64" s="501"/>
      <c r="U64" s="501"/>
      <c r="V64" s="501"/>
      <c r="W64" s="501"/>
      <c r="X64" s="501"/>
      <c r="Y64" s="501"/>
      <c r="Z64" s="501"/>
      <c r="AA64" s="501"/>
      <c r="AB64" s="501"/>
      <c r="AC64" s="501"/>
      <c r="AD64" s="501"/>
      <c r="AE64" s="501"/>
      <c r="AF64" s="501"/>
      <c r="AG64" s="501"/>
      <c r="AH64" s="501"/>
      <c r="AI64" s="501"/>
      <c r="AJ64" s="501"/>
      <c r="AK64" s="501"/>
      <c r="AL64" s="501"/>
      <c r="AM64" s="501"/>
      <c r="AN64" s="501"/>
      <c r="AO64" s="501"/>
      <c r="AP64" s="501"/>
      <c r="AQ64" s="501"/>
      <c r="AR64" s="501"/>
      <c r="AS64" s="501"/>
      <c r="AT64" s="501"/>
      <c r="AU64" s="501"/>
      <c r="AV64" s="502"/>
    </row>
    <row r="65" spans="3:48">
      <c r="C65" s="500"/>
      <c r="D65" s="501"/>
      <c r="E65" s="501"/>
      <c r="F65" s="501"/>
      <c r="G65" s="501"/>
      <c r="H65" s="501"/>
      <c r="I65" s="501"/>
      <c r="J65" s="501"/>
      <c r="K65" s="501"/>
      <c r="L65" s="501"/>
      <c r="M65" s="501"/>
      <c r="N65" s="501"/>
      <c r="O65" s="501"/>
      <c r="P65" s="501"/>
      <c r="Q65" s="501"/>
      <c r="R65" s="501"/>
      <c r="S65" s="501"/>
      <c r="T65" s="501"/>
      <c r="U65" s="501"/>
      <c r="V65" s="501"/>
      <c r="W65" s="501"/>
      <c r="X65" s="501"/>
      <c r="Y65" s="501"/>
      <c r="Z65" s="501"/>
      <c r="AA65" s="501"/>
      <c r="AB65" s="501"/>
      <c r="AC65" s="501"/>
      <c r="AD65" s="501"/>
      <c r="AE65" s="501"/>
      <c r="AF65" s="501"/>
      <c r="AG65" s="501"/>
      <c r="AH65" s="501"/>
      <c r="AI65" s="501"/>
      <c r="AJ65" s="501"/>
      <c r="AK65" s="501"/>
      <c r="AL65" s="501"/>
      <c r="AM65" s="501"/>
      <c r="AN65" s="501"/>
      <c r="AO65" s="501"/>
      <c r="AP65" s="501"/>
      <c r="AQ65" s="501"/>
      <c r="AR65" s="501"/>
      <c r="AS65" s="501"/>
      <c r="AT65" s="501"/>
      <c r="AU65" s="501"/>
      <c r="AV65" s="502"/>
    </row>
    <row r="66" spans="3:48">
      <c r="C66" s="500"/>
      <c r="D66" s="501"/>
      <c r="E66" s="501"/>
      <c r="F66" s="501"/>
      <c r="G66" s="501"/>
      <c r="H66" s="501"/>
      <c r="I66" s="501"/>
      <c r="J66" s="501"/>
      <c r="K66" s="501"/>
      <c r="L66" s="501"/>
      <c r="M66" s="501"/>
      <c r="N66" s="501"/>
      <c r="O66" s="501"/>
      <c r="P66" s="501"/>
      <c r="Q66" s="501"/>
      <c r="R66" s="501"/>
      <c r="S66" s="501"/>
      <c r="T66" s="501"/>
      <c r="U66" s="501"/>
      <c r="V66" s="501"/>
      <c r="W66" s="501"/>
      <c r="X66" s="501"/>
      <c r="Y66" s="501"/>
      <c r="Z66" s="501"/>
      <c r="AA66" s="501"/>
      <c r="AB66" s="501"/>
      <c r="AC66" s="501"/>
      <c r="AD66" s="501"/>
      <c r="AE66" s="501"/>
      <c r="AF66" s="501"/>
      <c r="AG66" s="501"/>
      <c r="AH66" s="501"/>
      <c r="AI66" s="501"/>
      <c r="AJ66" s="501"/>
      <c r="AK66" s="501"/>
      <c r="AL66" s="501"/>
      <c r="AM66" s="501"/>
      <c r="AN66" s="501"/>
      <c r="AO66" s="501"/>
      <c r="AP66" s="501"/>
      <c r="AQ66" s="501"/>
      <c r="AR66" s="501"/>
      <c r="AS66" s="501"/>
      <c r="AT66" s="501"/>
      <c r="AU66" s="501"/>
      <c r="AV66" s="502"/>
    </row>
    <row r="67" spans="3:48">
      <c r="C67" s="500"/>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c r="AJ67" s="501"/>
      <c r="AK67" s="501"/>
      <c r="AL67" s="501"/>
      <c r="AM67" s="501"/>
      <c r="AN67" s="501"/>
      <c r="AO67" s="501"/>
      <c r="AP67" s="501"/>
      <c r="AQ67" s="501"/>
      <c r="AR67" s="501"/>
      <c r="AS67" s="501"/>
      <c r="AT67" s="501"/>
      <c r="AU67" s="501"/>
      <c r="AV67" s="502"/>
    </row>
    <row r="68" spans="3:48">
      <c r="C68" s="500"/>
      <c r="D68" s="501"/>
      <c r="E68" s="501"/>
      <c r="F68" s="501"/>
      <c r="G68" s="501"/>
      <c r="H68" s="501"/>
      <c r="I68" s="501"/>
      <c r="J68" s="501"/>
      <c r="K68" s="501"/>
      <c r="L68" s="501"/>
      <c r="M68" s="501"/>
      <c r="N68" s="501"/>
      <c r="O68" s="501"/>
      <c r="P68" s="501"/>
      <c r="Q68" s="501"/>
      <c r="R68" s="501"/>
      <c r="S68" s="501"/>
      <c r="T68" s="501"/>
      <c r="U68" s="501"/>
      <c r="V68" s="501"/>
      <c r="W68" s="501"/>
      <c r="X68" s="501"/>
      <c r="Y68" s="501"/>
      <c r="Z68" s="501"/>
      <c r="AA68" s="501"/>
      <c r="AB68" s="501"/>
      <c r="AC68" s="501"/>
      <c r="AD68" s="501"/>
      <c r="AE68" s="501"/>
      <c r="AF68" s="501"/>
      <c r="AG68" s="501"/>
      <c r="AH68" s="501"/>
      <c r="AI68" s="501"/>
      <c r="AJ68" s="501"/>
      <c r="AK68" s="501"/>
      <c r="AL68" s="501"/>
      <c r="AM68" s="501"/>
      <c r="AN68" s="501"/>
      <c r="AO68" s="501"/>
      <c r="AP68" s="501"/>
      <c r="AQ68" s="501"/>
      <c r="AR68" s="501"/>
      <c r="AS68" s="501"/>
      <c r="AT68" s="501"/>
      <c r="AU68" s="501"/>
      <c r="AV68" s="502"/>
    </row>
    <row r="69" spans="3:48">
      <c r="C69" s="500"/>
      <c r="D69" s="501"/>
      <c r="E69" s="501"/>
      <c r="F69" s="501"/>
      <c r="G69" s="501"/>
      <c r="H69" s="501"/>
      <c r="I69" s="501"/>
      <c r="J69" s="501"/>
      <c r="K69" s="501"/>
      <c r="L69" s="501"/>
      <c r="M69" s="501"/>
      <c r="N69" s="501"/>
      <c r="O69" s="501"/>
      <c r="P69" s="501"/>
      <c r="Q69" s="501"/>
      <c r="R69" s="501"/>
      <c r="S69" s="501"/>
      <c r="T69" s="501"/>
      <c r="U69" s="501"/>
      <c r="V69" s="501"/>
      <c r="W69" s="501"/>
      <c r="X69" s="501"/>
      <c r="Y69" s="501"/>
      <c r="Z69" s="501"/>
      <c r="AA69" s="501"/>
      <c r="AB69" s="501"/>
      <c r="AC69" s="501"/>
      <c r="AD69" s="501"/>
      <c r="AE69" s="501"/>
      <c r="AF69" s="501"/>
      <c r="AG69" s="501"/>
      <c r="AH69" s="501"/>
      <c r="AI69" s="501"/>
      <c r="AJ69" s="501"/>
      <c r="AK69" s="501"/>
      <c r="AL69" s="501"/>
      <c r="AM69" s="501"/>
      <c r="AN69" s="501"/>
      <c r="AO69" s="501"/>
      <c r="AP69" s="501"/>
      <c r="AQ69" s="501"/>
      <c r="AR69" s="501"/>
      <c r="AS69" s="501"/>
      <c r="AT69" s="501"/>
      <c r="AU69" s="501"/>
      <c r="AV69" s="502"/>
    </row>
    <row r="70" spans="3:48">
      <c r="C70" s="500"/>
      <c r="D70" s="501"/>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c r="AE70" s="501"/>
      <c r="AF70" s="501"/>
      <c r="AG70" s="501"/>
      <c r="AH70" s="501"/>
      <c r="AI70" s="501"/>
      <c r="AJ70" s="501"/>
      <c r="AK70" s="501"/>
      <c r="AL70" s="501"/>
      <c r="AM70" s="501"/>
      <c r="AN70" s="501"/>
      <c r="AO70" s="501"/>
      <c r="AP70" s="501"/>
      <c r="AQ70" s="501"/>
      <c r="AR70" s="501"/>
      <c r="AS70" s="501"/>
      <c r="AT70" s="501"/>
      <c r="AU70" s="501"/>
      <c r="AV70" s="502"/>
    </row>
    <row r="71" spans="3:48">
      <c r="C71" s="500"/>
      <c r="D71" s="501"/>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501"/>
      <c r="AC71" s="501"/>
      <c r="AD71" s="501"/>
      <c r="AE71" s="501"/>
      <c r="AF71" s="501"/>
      <c r="AG71" s="501"/>
      <c r="AH71" s="501"/>
      <c r="AI71" s="501"/>
      <c r="AJ71" s="501"/>
      <c r="AK71" s="501"/>
      <c r="AL71" s="501"/>
      <c r="AM71" s="501"/>
      <c r="AN71" s="501"/>
      <c r="AO71" s="501"/>
      <c r="AP71" s="501"/>
      <c r="AQ71" s="501"/>
      <c r="AR71" s="501"/>
      <c r="AS71" s="501"/>
      <c r="AT71" s="501"/>
      <c r="AU71" s="501"/>
      <c r="AV71" s="502"/>
    </row>
    <row r="72" spans="3:48">
      <c r="C72" s="500"/>
      <c r="D72" s="501"/>
      <c r="E72" s="501"/>
      <c r="F72" s="501"/>
      <c r="G72" s="501"/>
      <c r="H72" s="501"/>
      <c r="I72" s="501"/>
      <c r="J72" s="501"/>
      <c r="K72" s="501"/>
      <c r="L72" s="501"/>
      <c r="M72" s="501"/>
      <c r="N72" s="501"/>
      <c r="O72" s="501"/>
      <c r="P72" s="501"/>
      <c r="Q72" s="501"/>
      <c r="R72" s="501"/>
      <c r="S72" s="501"/>
      <c r="T72" s="501"/>
      <c r="U72" s="501"/>
      <c r="V72" s="501"/>
      <c r="W72" s="501"/>
      <c r="X72" s="501"/>
      <c r="Y72" s="501"/>
      <c r="Z72" s="501"/>
      <c r="AA72" s="501"/>
      <c r="AB72" s="501"/>
      <c r="AC72" s="501"/>
      <c r="AD72" s="501"/>
      <c r="AE72" s="501"/>
      <c r="AF72" s="501"/>
      <c r="AG72" s="501"/>
      <c r="AH72" s="501"/>
      <c r="AI72" s="501"/>
      <c r="AJ72" s="501"/>
      <c r="AK72" s="501"/>
      <c r="AL72" s="501"/>
      <c r="AM72" s="501"/>
      <c r="AN72" s="501"/>
      <c r="AO72" s="501"/>
      <c r="AP72" s="501"/>
      <c r="AQ72" s="501"/>
      <c r="AR72" s="501"/>
      <c r="AS72" s="501"/>
      <c r="AT72" s="501"/>
      <c r="AU72" s="501"/>
      <c r="AV72" s="502"/>
    </row>
    <row r="73" spans="3:48">
      <c r="C73" s="500"/>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1"/>
      <c r="AN73" s="501"/>
      <c r="AO73" s="501"/>
      <c r="AP73" s="501"/>
      <c r="AQ73" s="501"/>
      <c r="AR73" s="501"/>
      <c r="AS73" s="501"/>
      <c r="AT73" s="501"/>
      <c r="AU73" s="501"/>
      <c r="AV73" s="502"/>
    </row>
    <row r="74" spans="3:48">
      <c r="C74" s="500"/>
      <c r="D74" s="501"/>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c r="AE74" s="501"/>
      <c r="AF74" s="501"/>
      <c r="AG74" s="501"/>
      <c r="AH74" s="501"/>
      <c r="AI74" s="501"/>
      <c r="AJ74" s="501"/>
      <c r="AK74" s="501"/>
      <c r="AL74" s="501"/>
      <c r="AM74" s="501"/>
      <c r="AN74" s="501"/>
      <c r="AO74" s="501"/>
      <c r="AP74" s="501"/>
      <c r="AQ74" s="501"/>
      <c r="AR74" s="501"/>
      <c r="AS74" s="501"/>
      <c r="AT74" s="501"/>
      <c r="AU74" s="501"/>
      <c r="AV74" s="502"/>
    </row>
    <row r="75" spans="3:48">
      <c r="C75" s="500"/>
      <c r="D75" s="501"/>
      <c r="E75" s="501"/>
      <c r="F75" s="501"/>
      <c r="G75" s="501"/>
      <c r="H75" s="501"/>
      <c r="I75" s="501"/>
      <c r="J75" s="501"/>
      <c r="K75" s="501"/>
      <c r="L75" s="501"/>
      <c r="M75" s="501"/>
      <c r="N75" s="501"/>
      <c r="O75" s="501"/>
      <c r="P75" s="501"/>
      <c r="Q75" s="501"/>
      <c r="R75" s="501"/>
      <c r="S75" s="501"/>
      <c r="T75" s="501"/>
      <c r="U75" s="501"/>
      <c r="V75" s="501"/>
      <c r="W75" s="501"/>
      <c r="X75" s="501"/>
      <c r="Y75" s="501"/>
      <c r="Z75" s="501"/>
      <c r="AA75" s="501"/>
      <c r="AB75" s="501"/>
      <c r="AC75" s="501"/>
      <c r="AD75" s="501"/>
      <c r="AE75" s="501"/>
      <c r="AF75" s="501"/>
      <c r="AG75" s="501"/>
      <c r="AH75" s="501"/>
      <c r="AI75" s="501"/>
      <c r="AJ75" s="501"/>
      <c r="AK75" s="501"/>
      <c r="AL75" s="501"/>
      <c r="AM75" s="501"/>
      <c r="AN75" s="501"/>
      <c r="AO75" s="501"/>
      <c r="AP75" s="501"/>
      <c r="AQ75" s="501"/>
      <c r="AR75" s="501"/>
      <c r="AS75" s="501"/>
      <c r="AT75" s="501"/>
      <c r="AU75" s="501"/>
      <c r="AV75" s="502"/>
    </row>
    <row r="76" spans="3:48">
      <c r="C76" s="500"/>
      <c r="D76" s="501"/>
      <c r="E76" s="501"/>
      <c r="F76" s="501"/>
      <c r="G76" s="501"/>
      <c r="H76" s="501"/>
      <c r="I76" s="501"/>
      <c r="J76" s="501"/>
      <c r="K76" s="501"/>
      <c r="L76" s="501"/>
      <c r="M76" s="501"/>
      <c r="N76" s="501"/>
      <c r="O76" s="501"/>
      <c r="P76" s="501"/>
      <c r="Q76" s="501"/>
      <c r="R76" s="501"/>
      <c r="S76" s="501"/>
      <c r="T76" s="501"/>
      <c r="U76" s="501"/>
      <c r="V76" s="501"/>
      <c r="W76" s="501"/>
      <c r="X76" s="501"/>
      <c r="Y76" s="501"/>
      <c r="Z76" s="501"/>
      <c r="AA76" s="501"/>
      <c r="AB76" s="501"/>
      <c r="AC76" s="501"/>
      <c r="AD76" s="501"/>
      <c r="AE76" s="501"/>
      <c r="AF76" s="501"/>
      <c r="AG76" s="501"/>
      <c r="AH76" s="501"/>
      <c r="AI76" s="501"/>
      <c r="AJ76" s="501"/>
      <c r="AK76" s="501"/>
      <c r="AL76" s="501"/>
      <c r="AM76" s="501"/>
      <c r="AN76" s="501"/>
      <c r="AO76" s="501"/>
      <c r="AP76" s="501"/>
      <c r="AQ76" s="501"/>
      <c r="AR76" s="501"/>
      <c r="AS76" s="501"/>
      <c r="AT76" s="501"/>
      <c r="AU76" s="501"/>
      <c r="AV76" s="502"/>
    </row>
    <row r="77" spans="3:48">
      <c r="C77" s="500"/>
      <c r="D77" s="501"/>
      <c r="E77" s="501"/>
      <c r="F77" s="501"/>
      <c r="G77" s="501"/>
      <c r="H77" s="501"/>
      <c r="I77" s="501"/>
      <c r="J77" s="501"/>
      <c r="K77" s="501"/>
      <c r="L77" s="501"/>
      <c r="M77" s="501"/>
      <c r="N77" s="501"/>
      <c r="O77" s="501"/>
      <c r="P77" s="501"/>
      <c r="Q77" s="501"/>
      <c r="R77" s="501"/>
      <c r="S77" s="501"/>
      <c r="T77" s="501"/>
      <c r="U77" s="501"/>
      <c r="V77" s="501"/>
      <c r="W77" s="501"/>
      <c r="X77" s="501"/>
      <c r="Y77" s="501"/>
      <c r="Z77" s="501"/>
      <c r="AA77" s="501"/>
      <c r="AB77" s="501"/>
      <c r="AC77" s="501"/>
      <c r="AD77" s="501"/>
      <c r="AE77" s="501"/>
      <c r="AF77" s="501"/>
      <c r="AG77" s="501"/>
      <c r="AH77" s="501"/>
      <c r="AI77" s="501"/>
      <c r="AJ77" s="501"/>
      <c r="AK77" s="501"/>
      <c r="AL77" s="501"/>
      <c r="AM77" s="501"/>
      <c r="AN77" s="501"/>
      <c r="AO77" s="501"/>
      <c r="AP77" s="501"/>
      <c r="AQ77" s="501"/>
      <c r="AR77" s="501"/>
      <c r="AS77" s="501"/>
      <c r="AT77" s="501"/>
      <c r="AU77" s="501"/>
      <c r="AV77" s="502"/>
    </row>
    <row r="78" spans="3:48">
      <c r="C78" s="500"/>
      <c r="D78" s="501"/>
      <c r="E78" s="501"/>
      <c r="F78" s="501"/>
      <c r="G78" s="501"/>
      <c r="H78" s="501"/>
      <c r="I78" s="501"/>
      <c r="J78" s="501"/>
      <c r="K78" s="501"/>
      <c r="L78" s="501"/>
      <c r="M78" s="501"/>
      <c r="N78" s="501"/>
      <c r="O78" s="501"/>
      <c r="P78" s="501"/>
      <c r="Q78" s="501"/>
      <c r="R78" s="501"/>
      <c r="S78" s="501"/>
      <c r="T78" s="501"/>
      <c r="U78" s="501"/>
      <c r="V78" s="501"/>
      <c r="W78" s="501"/>
      <c r="X78" s="501"/>
      <c r="Y78" s="501"/>
      <c r="Z78" s="501"/>
      <c r="AA78" s="501"/>
      <c r="AB78" s="501"/>
      <c r="AC78" s="501"/>
      <c r="AD78" s="501"/>
      <c r="AE78" s="501"/>
      <c r="AF78" s="501"/>
      <c r="AG78" s="501"/>
      <c r="AH78" s="501"/>
      <c r="AI78" s="501"/>
      <c r="AJ78" s="501"/>
      <c r="AK78" s="501"/>
      <c r="AL78" s="501"/>
      <c r="AM78" s="501"/>
      <c r="AN78" s="501"/>
      <c r="AO78" s="501"/>
      <c r="AP78" s="501"/>
      <c r="AQ78" s="501"/>
      <c r="AR78" s="501"/>
      <c r="AS78" s="501"/>
      <c r="AT78" s="501"/>
      <c r="AU78" s="501"/>
      <c r="AV78" s="502"/>
    </row>
    <row r="79" spans="3:48">
      <c r="C79" s="500"/>
      <c r="D79" s="501"/>
      <c r="E79" s="501"/>
      <c r="F79" s="501"/>
      <c r="G79" s="501"/>
      <c r="H79" s="501"/>
      <c r="I79" s="501"/>
      <c r="J79" s="501"/>
      <c r="K79" s="501"/>
      <c r="L79" s="501"/>
      <c r="M79" s="501"/>
      <c r="N79" s="501"/>
      <c r="O79" s="501"/>
      <c r="P79" s="501"/>
      <c r="Q79" s="501"/>
      <c r="R79" s="501"/>
      <c r="S79" s="501"/>
      <c r="T79" s="501"/>
      <c r="U79" s="501"/>
      <c r="V79" s="501"/>
      <c r="W79" s="501"/>
      <c r="X79" s="501"/>
      <c r="Y79" s="501"/>
      <c r="Z79" s="501"/>
      <c r="AA79" s="501"/>
      <c r="AB79" s="501"/>
      <c r="AC79" s="501"/>
      <c r="AD79" s="501"/>
      <c r="AE79" s="501"/>
      <c r="AF79" s="501"/>
      <c r="AG79" s="501"/>
      <c r="AH79" s="501"/>
      <c r="AI79" s="501"/>
      <c r="AJ79" s="501"/>
      <c r="AK79" s="501"/>
      <c r="AL79" s="501"/>
      <c r="AM79" s="501"/>
      <c r="AN79" s="501"/>
      <c r="AO79" s="501"/>
      <c r="AP79" s="501"/>
      <c r="AQ79" s="501"/>
      <c r="AR79" s="501"/>
      <c r="AS79" s="501"/>
      <c r="AT79" s="501"/>
      <c r="AU79" s="501"/>
      <c r="AV79" s="502"/>
    </row>
    <row r="80" spans="3:48">
      <c r="C80" s="500"/>
      <c r="D80" s="501"/>
      <c r="E80" s="501"/>
      <c r="F80" s="501"/>
      <c r="G80" s="501"/>
      <c r="H80" s="501"/>
      <c r="I80" s="501"/>
      <c r="J80" s="501"/>
      <c r="K80" s="501"/>
      <c r="L80" s="501"/>
      <c r="M80" s="501"/>
      <c r="N80" s="501"/>
      <c r="O80" s="501"/>
      <c r="P80" s="501"/>
      <c r="Q80" s="501"/>
      <c r="R80" s="501"/>
      <c r="S80" s="501"/>
      <c r="T80" s="501"/>
      <c r="U80" s="501"/>
      <c r="V80" s="501"/>
      <c r="W80" s="501"/>
      <c r="X80" s="501"/>
      <c r="Y80" s="501"/>
      <c r="Z80" s="501"/>
      <c r="AA80" s="501"/>
      <c r="AB80" s="501"/>
      <c r="AC80" s="501"/>
      <c r="AD80" s="501"/>
      <c r="AE80" s="501"/>
      <c r="AF80" s="501"/>
      <c r="AG80" s="501"/>
      <c r="AH80" s="501"/>
      <c r="AI80" s="501"/>
      <c r="AJ80" s="501"/>
      <c r="AK80" s="501"/>
      <c r="AL80" s="501"/>
      <c r="AM80" s="501"/>
      <c r="AN80" s="501"/>
      <c r="AO80" s="501"/>
      <c r="AP80" s="501"/>
      <c r="AQ80" s="501"/>
      <c r="AR80" s="501"/>
      <c r="AS80" s="501"/>
      <c r="AT80" s="501"/>
      <c r="AU80" s="501"/>
      <c r="AV80" s="502"/>
    </row>
    <row r="81" spans="1:51">
      <c r="C81" s="500"/>
      <c r="D81" s="501"/>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501"/>
      <c r="AF81" s="501"/>
      <c r="AG81" s="501"/>
      <c r="AH81" s="501"/>
      <c r="AI81" s="501"/>
      <c r="AJ81" s="501"/>
      <c r="AK81" s="501"/>
      <c r="AL81" s="501"/>
      <c r="AM81" s="501"/>
      <c r="AN81" s="501"/>
      <c r="AO81" s="501"/>
      <c r="AP81" s="501"/>
      <c r="AQ81" s="501"/>
      <c r="AR81" s="501"/>
      <c r="AS81" s="501"/>
      <c r="AT81" s="501"/>
      <c r="AU81" s="501"/>
      <c r="AV81" s="502"/>
    </row>
    <row r="82" spans="1:51">
      <c r="C82" s="500"/>
      <c r="D82" s="501"/>
      <c r="E82" s="501"/>
      <c r="F82" s="501"/>
      <c r="G82" s="501"/>
      <c r="H82" s="501"/>
      <c r="I82" s="501"/>
      <c r="J82" s="501"/>
      <c r="K82" s="501"/>
      <c r="L82" s="501"/>
      <c r="M82" s="501"/>
      <c r="N82" s="501"/>
      <c r="O82" s="501"/>
      <c r="P82" s="501"/>
      <c r="Q82" s="501"/>
      <c r="R82" s="501"/>
      <c r="S82" s="501"/>
      <c r="T82" s="501"/>
      <c r="U82" s="501"/>
      <c r="V82" s="501"/>
      <c r="W82" s="501"/>
      <c r="X82" s="501"/>
      <c r="Y82" s="501"/>
      <c r="Z82" s="501"/>
      <c r="AA82" s="501"/>
      <c r="AB82" s="501"/>
      <c r="AC82" s="501"/>
      <c r="AD82" s="501"/>
      <c r="AE82" s="501"/>
      <c r="AF82" s="501"/>
      <c r="AG82" s="501"/>
      <c r="AH82" s="501"/>
      <c r="AI82" s="501"/>
      <c r="AJ82" s="501"/>
      <c r="AK82" s="501"/>
      <c r="AL82" s="501"/>
      <c r="AM82" s="501"/>
      <c r="AN82" s="501"/>
      <c r="AO82" s="501"/>
      <c r="AP82" s="501"/>
      <c r="AQ82" s="501"/>
      <c r="AR82" s="501"/>
      <c r="AS82" s="501"/>
      <c r="AT82" s="501"/>
      <c r="AU82" s="501"/>
      <c r="AV82" s="502"/>
    </row>
    <row r="83" spans="1:51">
      <c r="C83" s="500"/>
      <c r="D83" s="501"/>
      <c r="E83" s="501"/>
      <c r="F83" s="501"/>
      <c r="G83" s="501"/>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1"/>
      <c r="AJ83" s="501"/>
      <c r="AK83" s="501"/>
      <c r="AL83" s="501"/>
      <c r="AM83" s="501"/>
      <c r="AN83" s="501"/>
      <c r="AO83" s="501"/>
      <c r="AP83" s="501"/>
      <c r="AQ83" s="501"/>
      <c r="AR83" s="501"/>
      <c r="AS83" s="501"/>
      <c r="AT83" s="501"/>
      <c r="AU83" s="501"/>
      <c r="AV83" s="502"/>
    </row>
    <row r="84" spans="1:51">
      <c r="C84" s="500"/>
      <c r="D84" s="501"/>
      <c r="E84" s="501"/>
      <c r="F84" s="501"/>
      <c r="G84" s="501"/>
      <c r="H84" s="501"/>
      <c r="I84" s="501"/>
      <c r="J84" s="501"/>
      <c r="K84" s="501"/>
      <c r="L84" s="501"/>
      <c r="M84" s="501"/>
      <c r="N84" s="501"/>
      <c r="O84" s="501"/>
      <c r="P84" s="501"/>
      <c r="Q84" s="501"/>
      <c r="R84" s="501"/>
      <c r="S84" s="501"/>
      <c r="T84" s="501"/>
      <c r="U84" s="501"/>
      <c r="V84" s="501"/>
      <c r="W84" s="501"/>
      <c r="X84" s="501"/>
      <c r="Y84" s="501"/>
      <c r="Z84" s="501"/>
      <c r="AA84" s="501"/>
      <c r="AB84" s="501"/>
      <c r="AC84" s="501"/>
      <c r="AD84" s="501"/>
      <c r="AE84" s="501"/>
      <c r="AF84" s="501"/>
      <c r="AG84" s="501"/>
      <c r="AH84" s="501"/>
      <c r="AI84" s="501"/>
      <c r="AJ84" s="501"/>
      <c r="AK84" s="501"/>
      <c r="AL84" s="501"/>
      <c r="AM84" s="501"/>
      <c r="AN84" s="501"/>
      <c r="AO84" s="501"/>
      <c r="AP84" s="501"/>
      <c r="AQ84" s="501"/>
      <c r="AR84" s="501"/>
      <c r="AS84" s="501"/>
      <c r="AT84" s="501"/>
      <c r="AU84" s="501"/>
      <c r="AV84" s="502"/>
    </row>
    <row r="85" spans="1:51">
      <c r="C85" s="500"/>
      <c r="D85" s="501"/>
      <c r="E85" s="501"/>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c r="AE85" s="501"/>
      <c r="AF85" s="501"/>
      <c r="AG85" s="501"/>
      <c r="AH85" s="501"/>
      <c r="AI85" s="501"/>
      <c r="AJ85" s="501"/>
      <c r="AK85" s="501"/>
      <c r="AL85" s="501"/>
      <c r="AM85" s="501"/>
      <c r="AN85" s="501"/>
      <c r="AO85" s="501"/>
      <c r="AP85" s="501"/>
      <c r="AQ85" s="501"/>
      <c r="AR85" s="501"/>
      <c r="AS85" s="501"/>
      <c r="AT85" s="501"/>
      <c r="AU85" s="501"/>
      <c r="AV85" s="502"/>
    </row>
    <row r="86" spans="1:51">
      <c r="C86" s="500"/>
      <c r="D86" s="501"/>
      <c r="E86" s="501"/>
      <c r="F86" s="501"/>
      <c r="G86" s="501"/>
      <c r="H86" s="501"/>
      <c r="I86" s="501"/>
      <c r="J86" s="501"/>
      <c r="K86" s="501"/>
      <c r="L86" s="501"/>
      <c r="M86" s="501"/>
      <c r="N86" s="501"/>
      <c r="O86" s="501"/>
      <c r="P86" s="501"/>
      <c r="Q86" s="501"/>
      <c r="R86" s="501"/>
      <c r="S86" s="501"/>
      <c r="T86" s="501"/>
      <c r="U86" s="501"/>
      <c r="V86" s="501"/>
      <c r="W86" s="501"/>
      <c r="X86" s="501"/>
      <c r="Y86" s="501"/>
      <c r="Z86" s="501"/>
      <c r="AA86" s="501"/>
      <c r="AB86" s="501"/>
      <c r="AC86" s="501"/>
      <c r="AD86" s="501"/>
      <c r="AE86" s="501"/>
      <c r="AF86" s="501"/>
      <c r="AG86" s="501"/>
      <c r="AH86" s="501"/>
      <c r="AI86" s="501"/>
      <c r="AJ86" s="501"/>
      <c r="AK86" s="501"/>
      <c r="AL86" s="501"/>
      <c r="AM86" s="501"/>
      <c r="AN86" s="501"/>
      <c r="AO86" s="501"/>
      <c r="AP86" s="501"/>
      <c r="AQ86" s="501"/>
      <c r="AR86" s="501"/>
      <c r="AS86" s="501"/>
      <c r="AT86" s="501"/>
      <c r="AU86" s="501"/>
      <c r="AV86" s="502"/>
    </row>
    <row r="87" spans="1:51">
      <c r="C87" s="500"/>
      <c r="D87" s="501"/>
      <c r="E87" s="501"/>
      <c r="F87" s="501"/>
      <c r="G87" s="501"/>
      <c r="H87" s="501"/>
      <c r="I87" s="501"/>
      <c r="J87" s="501"/>
      <c r="K87" s="501"/>
      <c r="L87" s="501"/>
      <c r="M87" s="501"/>
      <c r="N87" s="501"/>
      <c r="O87" s="501"/>
      <c r="P87" s="501"/>
      <c r="Q87" s="501"/>
      <c r="R87" s="501"/>
      <c r="S87" s="501"/>
      <c r="T87" s="501"/>
      <c r="U87" s="501"/>
      <c r="V87" s="501"/>
      <c r="W87" s="501"/>
      <c r="X87" s="501"/>
      <c r="Y87" s="501"/>
      <c r="Z87" s="501"/>
      <c r="AA87" s="501"/>
      <c r="AB87" s="501"/>
      <c r="AC87" s="501"/>
      <c r="AD87" s="501"/>
      <c r="AE87" s="501"/>
      <c r="AF87" s="501"/>
      <c r="AG87" s="501"/>
      <c r="AH87" s="501"/>
      <c r="AI87" s="501"/>
      <c r="AJ87" s="501"/>
      <c r="AK87" s="501"/>
      <c r="AL87" s="501"/>
      <c r="AM87" s="501"/>
      <c r="AN87" s="501"/>
      <c r="AO87" s="501"/>
      <c r="AP87" s="501"/>
      <c r="AQ87" s="501"/>
      <c r="AR87" s="501"/>
      <c r="AS87" s="501"/>
      <c r="AT87" s="501"/>
      <c r="AU87" s="501"/>
      <c r="AV87" s="502"/>
    </row>
    <row r="88" spans="1:51">
      <c r="C88" s="500"/>
      <c r="D88" s="501"/>
      <c r="E88" s="501"/>
      <c r="F88" s="501"/>
      <c r="G88" s="501"/>
      <c r="H88" s="501"/>
      <c r="I88" s="501"/>
      <c r="J88" s="501"/>
      <c r="K88" s="501"/>
      <c r="L88" s="501"/>
      <c r="M88" s="501"/>
      <c r="N88" s="501"/>
      <c r="O88" s="501"/>
      <c r="P88" s="501"/>
      <c r="Q88" s="501"/>
      <c r="R88" s="501"/>
      <c r="S88" s="501"/>
      <c r="T88" s="501"/>
      <c r="U88" s="501"/>
      <c r="V88" s="501"/>
      <c r="W88" s="501"/>
      <c r="X88" s="501"/>
      <c r="Y88" s="501"/>
      <c r="Z88" s="501"/>
      <c r="AA88" s="501"/>
      <c r="AB88" s="501"/>
      <c r="AC88" s="501"/>
      <c r="AD88" s="501"/>
      <c r="AE88" s="501"/>
      <c r="AF88" s="501"/>
      <c r="AG88" s="501"/>
      <c r="AH88" s="501"/>
      <c r="AI88" s="501"/>
      <c r="AJ88" s="501"/>
      <c r="AK88" s="501"/>
      <c r="AL88" s="501"/>
      <c r="AM88" s="501"/>
      <c r="AN88" s="501"/>
      <c r="AO88" s="501"/>
      <c r="AP88" s="501"/>
      <c r="AQ88" s="501"/>
      <c r="AR88" s="501"/>
      <c r="AS88" s="501"/>
      <c r="AT88" s="501"/>
      <c r="AU88" s="501"/>
      <c r="AV88" s="502"/>
    </row>
    <row r="89" spans="1:51">
      <c r="C89" s="500"/>
      <c r="D89" s="501"/>
      <c r="E89" s="501"/>
      <c r="F89" s="501"/>
      <c r="G89" s="501"/>
      <c r="H89" s="501"/>
      <c r="I89" s="501"/>
      <c r="J89" s="501"/>
      <c r="K89" s="501"/>
      <c r="L89" s="501"/>
      <c r="M89" s="501"/>
      <c r="N89" s="501"/>
      <c r="O89" s="501"/>
      <c r="P89" s="501"/>
      <c r="Q89" s="501"/>
      <c r="R89" s="501"/>
      <c r="S89" s="501"/>
      <c r="T89" s="501"/>
      <c r="U89" s="501"/>
      <c r="V89" s="501"/>
      <c r="W89" s="501"/>
      <c r="X89" s="501"/>
      <c r="Y89" s="501"/>
      <c r="Z89" s="501"/>
      <c r="AA89" s="501"/>
      <c r="AB89" s="501"/>
      <c r="AC89" s="501"/>
      <c r="AD89" s="501"/>
      <c r="AE89" s="501"/>
      <c r="AF89" s="501"/>
      <c r="AG89" s="501"/>
      <c r="AH89" s="501"/>
      <c r="AI89" s="501"/>
      <c r="AJ89" s="501"/>
      <c r="AK89" s="501"/>
      <c r="AL89" s="501"/>
      <c r="AM89" s="501"/>
      <c r="AN89" s="501"/>
      <c r="AO89" s="501"/>
      <c r="AP89" s="501"/>
      <c r="AQ89" s="501"/>
      <c r="AR89" s="501"/>
      <c r="AS89" s="501"/>
      <c r="AT89" s="501"/>
      <c r="AU89" s="501"/>
      <c r="AV89" s="502"/>
    </row>
    <row r="90" spans="1:51">
      <c r="C90" s="500"/>
      <c r="D90" s="501"/>
      <c r="E90" s="501"/>
      <c r="F90" s="501"/>
      <c r="G90" s="501"/>
      <c r="H90" s="501"/>
      <c r="I90" s="501"/>
      <c r="J90" s="501"/>
      <c r="K90" s="501"/>
      <c r="L90" s="501"/>
      <c r="M90" s="501"/>
      <c r="N90" s="501"/>
      <c r="O90" s="501"/>
      <c r="P90" s="501"/>
      <c r="Q90" s="501"/>
      <c r="R90" s="501"/>
      <c r="S90" s="501"/>
      <c r="T90" s="501"/>
      <c r="U90" s="501"/>
      <c r="V90" s="501"/>
      <c r="W90" s="501"/>
      <c r="X90" s="501"/>
      <c r="Y90" s="501"/>
      <c r="Z90" s="501"/>
      <c r="AA90" s="501"/>
      <c r="AB90" s="501"/>
      <c r="AC90" s="501"/>
      <c r="AD90" s="501"/>
      <c r="AE90" s="501"/>
      <c r="AF90" s="501"/>
      <c r="AG90" s="501"/>
      <c r="AH90" s="501"/>
      <c r="AI90" s="501"/>
      <c r="AJ90" s="501"/>
      <c r="AK90" s="501"/>
      <c r="AL90" s="501"/>
      <c r="AM90" s="501"/>
      <c r="AN90" s="501"/>
      <c r="AO90" s="501"/>
      <c r="AP90" s="501"/>
      <c r="AQ90" s="501"/>
      <c r="AR90" s="501"/>
      <c r="AS90" s="501"/>
      <c r="AT90" s="501"/>
      <c r="AU90" s="501"/>
      <c r="AV90" s="502"/>
    </row>
    <row r="91" spans="1:51">
      <c r="C91" s="500"/>
      <c r="D91" s="501"/>
      <c r="E91" s="501"/>
      <c r="F91" s="501"/>
      <c r="G91" s="501"/>
      <c r="H91" s="501"/>
      <c r="I91" s="501"/>
      <c r="J91" s="501"/>
      <c r="K91" s="501"/>
      <c r="L91" s="501"/>
      <c r="M91" s="501"/>
      <c r="N91" s="501"/>
      <c r="O91" s="501"/>
      <c r="P91" s="501"/>
      <c r="Q91" s="501"/>
      <c r="R91" s="501"/>
      <c r="S91" s="501"/>
      <c r="T91" s="501"/>
      <c r="U91" s="501"/>
      <c r="V91" s="501"/>
      <c r="W91" s="501"/>
      <c r="X91" s="501"/>
      <c r="Y91" s="501"/>
      <c r="Z91" s="501"/>
      <c r="AA91" s="501"/>
      <c r="AB91" s="501"/>
      <c r="AC91" s="501"/>
      <c r="AD91" s="501"/>
      <c r="AE91" s="501"/>
      <c r="AF91" s="501"/>
      <c r="AG91" s="501"/>
      <c r="AH91" s="501"/>
      <c r="AI91" s="501"/>
      <c r="AJ91" s="501"/>
      <c r="AK91" s="501"/>
      <c r="AL91" s="501"/>
      <c r="AM91" s="501"/>
      <c r="AN91" s="501"/>
      <c r="AO91" s="501"/>
      <c r="AP91" s="501"/>
      <c r="AQ91" s="501"/>
      <c r="AR91" s="501"/>
      <c r="AS91" s="501"/>
      <c r="AT91" s="501"/>
      <c r="AU91" s="501"/>
      <c r="AV91" s="502"/>
    </row>
    <row r="92" spans="1:51" ht="13.5" thickBot="1">
      <c r="C92" s="503"/>
      <c r="D92" s="504"/>
      <c r="E92" s="504"/>
      <c r="F92" s="504"/>
      <c r="G92" s="504"/>
      <c r="H92" s="504"/>
      <c r="I92" s="504"/>
      <c r="J92" s="504"/>
      <c r="K92" s="504"/>
      <c r="L92" s="504"/>
      <c r="M92" s="504"/>
      <c r="N92" s="504"/>
      <c r="O92" s="504"/>
      <c r="P92" s="504"/>
      <c r="Q92" s="504"/>
      <c r="R92" s="504"/>
      <c r="S92" s="504"/>
      <c r="T92" s="504"/>
      <c r="U92" s="504"/>
      <c r="V92" s="504"/>
      <c r="W92" s="504"/>
      <c r="X92" s="504"/>
      <c r="Y92" s="504"/>
      <c r="Z92" s="504"/>
      <c r="AA92" s="504"/>
      <c r="AB92" s="504"/>
      <c r="AC92" s="504"/>
      <c r="AD92" s="504"/>
      <c r="AE92" s="504"/>
      <c r="AF92" s="504"/>
      <c r="AG92" s="504"/>
      <c r="AH92" s="504"/>
      <c r="AI92" s="504"/>
      <c r="AJ92" s="504"/>
      <c r="AK92" s="504"/>
      <c r="AL92" s="504"/>
      <c r="AM92" s="504"/>
      <c r="AN92" s="504"/>
      <c r="AO92" s="504"/>
      <c r="AP92" s="504"/>
      <c r="AQ92" s="504"/>
      <c r="AR92" s="504"/>
      <c r="AS92" s="504"/>
      <c r="AT92" s="504"/>
      <c r="AU92" s="504"/>
      <c r="AV92" s="505"/>
    </row>
    <row r="94" spans="1:51" ht="15">
      <c r="A94" s="2" t="s">
        <v>115</v>
      </c>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row>
    <row r="95" spans="1:51" ht="22">
      <c r="A95" s="4" t="s">
        <v>116</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6"/>
      <c r="AE95" s="2"/>
      <c r="AF95" s="7"/>
      <c r="AG95" s="2"/>
      <c r="AH95" s="2"/>
      <c r="AI95" s="2"/>
      <c r="AJ95" s="2"/>
      <c r="AK95" s="2"/>
      <c r="AL95" s="2"/>
      <c r="AM95" s="2"/>
      <c r="AN95" s="2"/>
      <c r="AO95" s="2"/>
      <c r="AP95" s="2"/>
      <c r="AQ95" s="2"/>
      <c r="AR95" s="2"/>
      <c r="AS95" s="2"/>
      <c r="AT95" s="2"/>
      <c r="AU95" s="2"/>
      <c r="AV95" s="2"/>
      <c r="AW95" s="2"/>
      <c r="AX95" s="2"/>
      <c r="AY95" s="7" t="s">
        <v>117</v>
      </c>
    </row>
    <row r="96" spans="1:51" ht="1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7"/>
      <c r="AG96" s="2"/>
      <c r="AH96" s="2"/>
      <c r="AI96" s="2"/>
      <c r="AJ96" s="2"/>
      <c r="AK96" s="2"/>
      <c r="AL96" s="2"/>
      <c r="AM96" s="2"/>
      <c r="AN96" s="2"/>
      <c r="AO96" s="2"/>
      <c r="AP96" s="2"/>
      <c r="AQ96" s="2"/>
      <c r="AR96" s="2"/>
      <c r="AS96" s="2"/>
      <c r="AT96" s="2"/>
      <c r="AU96" s="2"/>
      <c r="AV96" s="2"/>
      <c r="AW96" s="2"/>
      <c r="AX96" s="2"/>
      <c r="AY96" s="7" t="s">
        <v>118</v>
      </c>
    </row>
    <row r="97" spans="1:51" ht="15">
      <c r="A97" s="2"/>
      <c r="B97" s="2" t="s">
        <v>728</v>
      </c>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7"/>
      <c r="AG97" s="2"/>
      <c r="AH97" s="2"/>
      <c r="AI97" s="2"/>
      <c r="AJ97" s="2"/>
      <c r="AK97" s="2"/>
      <c r="AL97" s="2"/>
      <c r="AM97" s="2"/>
      <c r="AN97" s="2"/>
      <c r="AO97" s="2"/>
      <c r="AP97" s="2"/>
      <c r="AQ97" s="2"/>
      <c r="AR97" s="2"/>
      <c r="AS97" s="2"/>
      <c r="AT97" s="2"/>
      <c r="AU97" s="2"/>
      <c r="AV97" s="2"/>
      <c r="AW97" s="2"/>
      <c r="AX97" s="2"/>
      <c r="AY97" s="7" t="s">
        <v>119</v>
      </c>
    </row>
    <row r="98" spans="1:51" ht="15">
      <c r="B98" s="2" t="s">
        <v>730</v>
      </c>
      <c r="AY98" s="7" t="s">
        <v>29</v>
      </c>
    </row>
    <row r="99" spans="1:51" ht="15">
      <c r="B99" s="2" t="s">
        <v>738</v>
      </c>
      <c r="AY99" s="7" t="s">
        <v>120</v>
      </c>
    </row>
    <row r="101" spans="1:51" ht="15">
      <c r="A101" s="2" t="s">
        <v>30</v>
      </c>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51" ht="15">
      <c r="A102" s="9" t="s">
        <v>31</v>
      </c>
      <c r="B102" s="41"/>
      <c r="C102" s="41"/>
      <c r="D102" s="41"/>
      <c r="E102" s="41"/>
      <c r="F102" s="10"/>
      <c r="G102" s="10"/>
      <c r="H102" s="10"/>
      <c r="I102" s="10"/>
      <c r="J102" s="10"/>
      <c r="K102" s="10"/>
      <c r="L102" s="10"/>
      <c r="M102" s="10"/>
      <c r="N102" s="10"/>
      <c r="O102" s="10"/>
      <c r="P102" s="10"/>
      <c r="Q102" s="11"/>
      <c r="R102" s="732">
        <f>監視サービス登録書!C16</f>
        <v>0</v>
      </c>
      <c r="S102" s="733"/>
      <c r="T102" s="733"/>
      <c r="U102" s="733"/>
      <c r="V102" s="733"/>
      <c r="W102" s="733"/>
      <c r="X102" s="733"/>
      <c r="Y102" s="733"/>
      <c r="Z102" s="733"/>
      <c r="AA102" s="733"/>
      <c r="AB102" s="733"/>
      <c r="AC102" s="733"/>
      <c r="AD102" s="734"/>
    </row>
    <row r="103" spans="1:51" ht="15">
      <c r="A103" s="9" t="s">
        <v>121</v>
      </c>
      <c r="B103" s="41"/>
      <c r="C103" s="41"/>
      <c r="D103" s="41"/>
      <c r="E103" s="41"/>
      <c r="F103" s="10"/>
      <c r="G103" s="10"/>
      <c r="H103" s="10"/>
      <c r="I103" s="10"/>
      <c r="J103" s="10"/>
      <c r="K103" s="10"/>
      <c r="L103" s="10"/>
      <c r="M103" s="10"/>
      <c r="N103" s="10"/>
      <c r="O103" s="10"/>
      <c r="P103" s="10"/>
      <c r="Q103" s="11"/>
      <c r="R103" s="732">
        <f>監視サービス登録書!C14</f>
        <v>0</v>
      </c>
      <c r="S103" s="733"/>
      <c r="T103" s="733"/>
      <c r="U103" s="733"/>
      <c r="V103" s="733"/>
      <c r="W103" s="733"/>
      <c r="X103" s="733"/>
      <c r="Y103" s="733"/>
      <c r="Z103" s="733"/>
      <c r="AA103" s="733"/>
      <c r="AB103" s="733"/>
      <c r="AC103" s="733"/>
      <c r="AD103" s="734"/>
    </row>
    <row r="104" spans="1:51" ht="1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51" ht="15.75" customHeight="1" thickBot="1">
      <c r="A105" s="2" t="s">
        <v>122</v>
      </c>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51" ht="45" customHeight="1" thickBot="1">
      <c r="A106" s="472" t="s">
        <v>732</v>
      </c>
      <c r="B106" s="473"/>
      <c r="C106" s="473"/>
      <c r="D106" s="473"/>
      <c r="E106" s="473"/>
      <c r="F106" s="473"/>
      <c r="G106" s="473"/>
      <c r="H106" s="473"/>
      <c r="I106" s="473"/>
      <c r="J106" s="473"/>
      <c r="K106" s="473"/>
      <c r="L106" s="473"/>
      <c r="M106" s="473"/>
      <c r="N106" s="473"/>
      <c r="O106" s="473"/>
      <c r="P106" s="473"/>
      <c r="Q106" s="473"/>
      <c r="R106" s="711"/>
      <c r="S106" s="712"/>
      <c r="T106" s="712"/>
      <c r="U106" s="712"/>
      <c r="V106" s="712"/>
      <c r="W106" s="712"/>
      <c r="X106" s="712"/>
      <c r="Y106" s="712"/>
      <c r="Z106" s="712"/>
      <c r="AA106" s="712"/>
      <c r="AB106" s="712"/>
      <c r="AC106" s="712"/>
      <c r="AD106" s="713"/>
    </row>
    <row r="108" spans="1:51" ht="15">
      <c r="A108" s="2" t="s">
        <v>123</v>
      </c>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row>
    <row r="109" spans="1:51" ht="15.5" thickBot="1">
      <c r="A109" s="13" t="s">
        <v>35</v>
      </c>
      <c r="B109" s="461" t="s">
        <v>36</v>
      </c>
      <c r="C109" s="714"/>
      <c r="D109" s="714"/>
      <c r="E109" s="714"/>
      <c r="F109" s="714"/>
      <c r="G109" s="714"/>
      <c r="H109" s="714"/>
      <c r="I109" s="714"/>
      <c r="J109" s="714"/>
      <c r="K109" s="714"/>
      <c r="L109" s="714"/>
      <c r="M109" s="714"/>
      <c r="N109" s="461" t="s">
        <v>37</v>
      </c>
      <c r="O109" s="714"/>
      <c r="P109" s="714"/>
      <c r="Q109" s="714"/>
      <c r="R109" s="584" t="s">
        <v>38</v>
      </c>
      <c r="S109" s="715"/>
      <c r="T109" s="715"/>
      <c r="U109" s="715"/>
      <c r="V109" s="715"/>
      <c r="W109" s="715"/>
      <c r="X109" s="715"/>
      <c r="Y109" s="715"/>
      <c r="Z109" s="715"/>
      <c r="AA109" s="715"/>
      <c r="AB109" s="715"/>
      <c r="AC109" s="715"/>
      <c r="AD109" s="715"/>
      <c r="AE109" s="461" t="s">
        <v>39</v>
      </c>
      <c r="AF109" s="716"/>
      <c r="AG109" s="714"/>
      <c r="AH109" s="714"/>
      <c r="AI109" s="714"/>
      <c r="AJ109" s="714"/>
      <c r="AK109" s="714"/>
      <c r="AL109" s="714"/>
      <c r="AM109" s="714"/>
      <c r="AN109" s="714"/>
      <c r="AO109" s="714"/>
      <c r="AP109" s="714"/>
      <c r="AQ109" s="714"/>
      <c r="AR109" s="714"/>
      <c r="AS109" s="714"/>
      <c r="AT109" s="714"/>
      <c r="AU109" s="714"/>
      <c r="AV109" s="714"/>
      <c r="AW109" s="714"/>
      <c r="AX109" s="714"/>
      <c r="AY109" s="714"/>
    </row>
    <row r="110" spans="1:51" ht="15">
      <c r="A110" s="717">
        <v>1</v>
      </c>
      <c r="B110" s="719" t="s">
        <v>52</v>
      </c>
      <c r="C110" s="640"/>
      <c r="D110" s="640"/>
      <c r="E110" s="640"/>
      <c r="F110" s="640"/>
      <c r="G110" s="601" t="s">
        <v>53</v>
      </c>
      <c r="H110" s="602"/>
      <c r="I110" s="602"/>
      <c r="J110" s="602"/>
      <c r="K110" s="602"/>
      <c r="L110" s="602"/>
      <c r="M110" s="602"/>
      <c r="N110" s="603" t="s">
        <v>54</v>
      </c>
      <c r="O110" s="604"/>
      <c r="P110" s="604"/>
      <c r="Q110" s="605"/>
      <c r="R110" s="665"/>
      <c r="S110" s="666"/>
      <c r="T110" s="666"/>
      <c r="U110" s="666"/>
      <c r="V110" s="666"/>
      <c r="W110" s="666"/>
      <c r="X110" s="666"/>
      <c r="Y110" s="666"/>
      <c r="Z110" s="666"/>
      <c r="AA110" s="666"/>
      <c r="AB110" s="666"/>
      <c r="AC110" s="666"/>
      <c r="AD110" s="667"/>
      <c r="AE110" s="609" t="s">
        <v>55</v>
      </c>
      <c r="AF110" s="602"/>
      <c r="AG110" s="602"/>
      <c r="AH110" s="602"/>
      <c r="AI110" s="602"/>
      <c r="AJ110" s="602"/>
      <c r="AK110" s="602"/>
      <c r="AL110" s="602"/>
      <c r="AM110" s="602"/>
      <c r="AN110" s="602"/>
      <c r="AO110" s="602"/>
      <c r="AP110" s="602"/>
      <c r="AQ110" s="602"/>
      <c r="AR110" s="602"/>
      <c r="AS110" s="602"/>
      <c r="AT110" s="602"/>
      <c r="AU110" s="602"/>
      <c r="AV110" s="602"/>
      <c r="AW110" s="602"/>
      <c r="AX110" s="602"/>
      <c r="AY110" s="602"/>
    </row>
    <row r="111" spans="1:51" ht="15">
      <c r="A111" s="638"/>
      <c r="B111" s="640"/>
      <c r="C111" s="640"/>
      <c r="D111" s="640"/>
      <c r="E111" s="640"/>
      <c r="F111" s="640"/>
      <c r="G111" s="601" t="s">
        <v>56</v>
      </c>
      <c r="H111" s="602"/>
      <c r="I111" s="602"/>
      <c r="J111" s="602"/>
      <c r="K111" s="602"/>
      <c r="L111" s="602"/>
      <c r="M111" s="602"/>
      <c r="N111" s="603" t="s">
        <v>54</v>
      </c>
      <c r="O111" s="604"/>
      <c r="P111" s="604"/>
      <c r="Q111" s="605"/>
      <c r="R111" s="606"/>
      <c r="S111" s="607"/>
      <c r="T111" s="607"/>
      <c r="U111" s="607"/>
      <c r="V111" s="607"/>
      <c r="W111" s="607"/>
      <c r="X111" s="607"/>
      <c r="Y111" s="607"/>
      <c r="Z111" s="607"/>
      <c r="AA111" s="607"/>
      <c r="AB111" s="607"/>
      <c r="AC111" s="607"/>
      <c r="AD111" s="608"/>
      <c r="AE111" s="609" t="s">
        <v>57</v>
      </c>
      <c r="AF111" s="602"/>
      <c r="AG111" s="602"/>
      <c r="AH111" s="602"/>
      <c r="AI111" s="602"/>
      <c r="AJ111" s="602"/>
      <c r="AK111" s="602"/>
      <c r="AL111" s="602"/>
      <c r="AM111" s="602"/>
      <c r="AN111" s="602"/>
      <c r="AO111" s="602"/>
      <c r="AP111" s="602"/>
      <c r="AQ111" s="602"/>
      <c r="AR111" s="602"/>
      <c r="AS111" s="602"/>
      <c r="AT111" s="602"/>
      <c r="AU111" s="602"/>
      <c r="AV111" s="602"/>
      <c r="AW111" s="602"/>
      <c r="AX111" s="602"/>
      <c r="AY111" s="602"/>
    </row>
    <row r="112" spans="1:51" ht="15">
      <c r="A112" s="638"/>
      <c r="B112" s="640"/>
      <c r="C112" s="640"/>
      <c r="D112" s="640"/>
      <c r="E112" s="640"/>
      <c r="F112" s="640"/>
      <c r="G112" s="601" t="s">
        <v>6</v>
      </c>
      <c r="H112" s="602"/>
      <c r="I112" s="602"/>
      <c r="J112" s="602"/>
      <c r="K112" s="602"/>
      <c r="L112" s="602"/>
      <c r="M112" s="602"/>
      <c r="N112" s="603" t="s">
        <v>54</v>
      </c>
      <c r="O112" s="604"/>
      <c r="P112" s="604"/>
      <c r="Q112" s="605"/>
      <c r="R112" s="606"/>
      <c r="S112" s="607"/>
      <c r="T112" s="607"/>
      <c r="U112" s="607"/>
      <c r="V112" s="607"/>
      <c r="W112" s="607"/>
      <c r="X112" s="607"/>
      <c r="Y112" s="607"/>
      <c r="Z112" s="607"/>
      <c r="AA112" s="607"/>
      <c r="AB112" s="607"/>
      <c r="AC112" s="607"/>
      <c r="AD112" s="608"/>
      <c r="AE112" s="609" t="s">
        <v>58</v>
      </c>
      <c r="AF112" s="602"/>
      <c r="AG112" s="602"/>
      <c r="AH112" s="602"/>
      <c r="AI112" s="602"/>
      <c r="AJ112" s="602"/>
      <c r="AK112" s="602"/>
      <c r="AL112" s="602"/>
      <c r="AM112" s="602"/>
      <c r="AN112" s="602"/>
      <c r="AO112" s="602"/>
      <c r="AP112" s="602"/>
      <c r="AQ112" s="602"/>
      <c r="AR112" s="602"/>
      <c r="AS112" s="602"/>
      <c r="AT112" s="602"/>
      <c r="AU112" s="602"/>
      <c r="AV112" s="602"/>
      <c r="AW112" s="602"/>
      <c r="AX112" s="602"/>
      <c r="AY112" s="602"/>
    </row>
    <row r="113" spans="1:51" ht="15">
      <c r="A113" s="638"/>
      <c r="B113" s="640"/>
      <c r="C113" s="640"/>
      <c r="D113" s="640"/>
      <c r="E113" s="640"/>
      <c r="F113" s="640"/>
      <c r="G113" s="601" t="s">
        <v>59</v>
      </c>
      <c r="H113" s="602"/>
      <c r="I113" s="602"/>
      <c r="J113" s="602"/>
      <c r="K113" s="602"/>
      <c r="L113" s="602"/>
      <c r="M113" s="602"/>
      <c r="N113" s="603" t="s">
        <v>54</v>
      </c>
      <c r="O113" s="604"/>
      <c r="P113" s="604"/>
      <c r="Q113" s="605"/>
      <c r="R113" s="606"/>
      <c r="S113" s="607"/>
      <c r="T113" s="607"/>
      <c r="U113" s="607"/>
      <c r="V113" s="607"/>
      <c r="W113" s="607"/>
      <c r="X113" s="607"/>
      <c r="Y113" s="607"/>
      <c r="Z113" s="607"/>
      <c r="AA113" s="607"/>
      <c r="AB113" s="607"/>
      <c r="AC113" s="607"/>
      <c r="AD113" s="608"/>
      <c r="AE113" s="609" t="s">
        <v>60</v>
      </c>
      <c r="AF113" s="602"/>
      <c r="AG113" s="602"/>
      <c r="AH113" s="602"/>
      <c r="AI113" s="602"/>
      <c r="AJ113" s="602"/>
      <c r="AK113" s="602"/>
      <c r="AL113" s="602"/>
      <c r="AM113" s="602"/>
      <c r="AN113" s="602"/>
      <c r="AO113" s="602"/>
      <c r="AP113" s="602"/>
      <c r="AQ113" s="602"/>
      <c r="AR113" s="602"/>
      <c r="AS113" s="602"/>
      <c r="AT113" s="602"/>
      <c r="AU113" s="602"/>
      <c r="AV113" s="602"/>
      <c r="AW113" s="602"/>
      <c r="AX113" s="602"/>
      <c r="AY113" s="602"/>
    </row>
    <row r="114" spans="1:51" ht="15">
      <c r="A114" s="638"/>
      <c r="B114" s="640"/>
      <c r="C114" s="640"/>
      <c r="D114" s="640"/>
      <c r="E114" s="640"/>
      <c r="F114" s="640"/>
      <c r="G114" s="601" t="s">
        <v>61</v>
      </c>
      <c r="H114" s="602"/>
      <c r="I114" s="602"/>
      <c r="J114" s="602"/>
      <c r="K114" s="602"/>
      <c r="L114" s="602"/>
      <c r="M114" s="602"/>
      <c r="N114" s="603">
        <v>1111</v>
      </c>
      <c r="O114" s="604"/>
      <c r="P114" s="604"/>
      <c r="Q114" s="605"/>
      <c r="R114" s="606"/>
      <c r="S114" s="607"/>
      <c r="T114" s="607"/>
      <c r="U114" s="607"/>
      <c r="V114" s="607"/>
      <c r="W114" s="607"/>
      <c r="X114" s="607"/>
      <c r="Y114" s="607"/>
      <c r="Z114" s="607"/>
      <c r="AA114" s="607"/>
      <c r="AB114" s="607"/>
      <c r="AC114" s="607"/>
      <c r="AD114" s="608"/>
      <c r="AE114" s="609" t="s">
        <v>62</v>
      </c>
      <c r="AF114" s="602"/>
      <c r="AG114" s="602"/>
      <c r="AH114" s="602"/>
      <c r="AI114" s="602"/>
      <c r="AJ114" s="602"/>
      <c r="AK114" s="602"/>
      <c r="AL114" s="602"/>
      <c r="AM114" s="602"/>
      <c r="AN114" s="602"/>
      <c r="AO114" s="602"/>
      <c r="AP114" s="602"/>
      <c r="AQ114" s="602"/>
      <c r="AR114" s="602"/>
      <c r="AS114" s="602"/>
      <c r="AT114" s="602"/>
      <c r="AU114" s="602"/>
      <c r="AV114" s="602"/>
      <c r="AW114" s="602"/>
      <c r="AX114" s="602"/>
      <c r="AY114" s="602"/>
    </row>
    <row r="115" spans="1:51" ht="15.5" thickBot="1">
      <c r="A115" s="718"/>
      <c r="B115" s="720"/>
      <c r="C115" s="720"/>
      <c r="D115" s="720"/>
      <c r="E115" s="720"/>
      <c r="F115" s="720"/>
      <c r="G115" s="721" t="s">
        <v>63</v>
      </c>
      <c r="H115" s="722"/>
      <c r="I115" s="722"/>
      <c r="J115" s="722"/>
      <c r="K115" s="722"/>
      <c r="L115" s="722"/>
      <c r="M115" s="722"/>
      <c r="N115" s="723">
        <v>2222</v>
      </c>
      <c r="O115" s="724"/>
      <c r="P115" s="724"/>
      <c r="Q115" s="725"/>
      <c r="R115" s="726"/>
      <c r="S115" s="727"/>
      <c r="T115" s="727"/>
      <c r="U115" s="727"/>
      <c r="V115" s="727"/>
      <c r="W115" s="727"/>
      <c r="X115" s="727"/>
      <c r="Y115" s="727"/>
      <c r="Z115" s="727"/>
      <c r="AA115" s="727"/>
      <c r="AB115" s="727"/>
      <c r="AC115" s="727"/>
      <c r="AD115" s="728"/>
      <c r="AE115" s="729" t="s">
        <v>62</v>
      </c>
      <c r="AF115" s="722"/>
      <c r="AG115" s="722"/>
      <c r="AH115" s="722"/>
      <c r="AI115" s="722"/>
      <c r="AJ115" s="722"/>
      <c r="AK115" s="722"/>
      <c r="AL115" s="722"/>
      <c r="AM115" s="722"/>
      <c r="AN115" s="722"/>
      <c r="AO115" s="722"/>
      <c r="AP115" s="722"/>
      <c r="AQ115" s="722"/>
      <c r="AR115" s="722"/>
      <c r="AS115" s="722"/>
      <c r="AT115" s="722"/>
      <c r="AU115" s="722"/>
      <c r="AV115" s="722"/>
      <c r="AW115" s="722"/>
      <c r="AX115" s="722"/>
      <c r="AY115" s="722"/>
    </row>
    <row r="116" spans="1:51" ht="15.5" thickTop="1">
      <c r="A116" s="683">
        <v>2</v>
      </c>
      <c r="B116" s="685" t="s">
        <v>761</v>
      </c>
      <c r="C116" s="686"/>
      <c r="D116" s="686"/>
      <c r="E116" s="686"/>
      <c r="F116" s="687"/>
      <c r="G116" s="691" t="s">
        <v>762</v>
      </c>
      <c r="H116" s="692"/>
      <c r="I116" s="692"/>
      <c r="J116" s="692"/>
      <c r="K116" s="692"/>
      <c r="L116" s="692"/>
      <c r="M116" s="692"/>
      <c r="N116" s="693" t="s">
        <v>764</v>
      </c>
      <c r="O116" s="694"/>
      <c r="P116" s="694"/>
      <c r="Q116" s="695"/>
      <c r="R116" s="696"/>
      <c r="S116" s="697"/>
      <c r="T116" s="697"/>
      <c r="U116" s="697"/>
      <c r="V116" s="697"/>
      <c r="W116" s="697"/>
      <c r="X116" s="697"/>
      <c r="Y116" s="697"/>
      <c r="Z116" s="697"/>
      <c r="AA116" s="697"/>
      <c r="AB116" s="697"/>
      <c r="AC116" s="697"/>
      <c r="AD116" s="698"/>
      <c r="AE116" s="699" t="s">
        <v>768</v>
      </c>
      <c r="AF116" s="700"/>
      <c r="AG116" s="700"/>
      <c r="AH116" s="700"/>
      <c r="AI116" s="700"/>
      <c r="AJ116" s="700"/>
      <c r="AK116" s="700"/>
      <c r="AL116" s="700"/>
      <c r="AM116" s="700"/>
      <c r="AN116" s="700"/>
      <c r="AO116" s="700"/>
      <c r="AP116" s="700"/>
      <c r="AQ116" s="700"/>
      <c r="AR116" s="700"/>
      <c r="AS116" s="700"/>
      <c r="AT116" s="700"/>
      <c r="AU116" s="700"/>
      <c r="AV116" s="700"/>
      <c r="AW116" s="700"/>
      <c r="AX116" s="700"/>
      <c r="AY116" s="700"/>
    </row>
    <row r="117" spans="1:51" ht="15.5" thickBot="1">
      <c r="A117" s="684"/>
      <c r="B117" s="688"/>
      <c r="C117" s="689"/>
      <c r="D117" s="689"/>
      <c r="E117" s="689"/>
      <c r="F117" s="690"/>
      <c r="G117" s="701"/>
      <c r="H117" s="702"/>
      <c r="I117" s="702"/>
      <c r="J117" s="702"/>
      <c r="K117" s="702"/>
      <c r="L117" s="702"/>
      <c r="M117" s="702"/>
      <c r="N117" s="703"/>
      <c r="O117" s="704"/>
      <c r="P117" s="704"/>
      <c r="Q117" s="705"/>
      <c r="R117" s="706" t="s">
        <v>125</v>
      </c>
      <c r="S117" s="707"/>
      <c r="T117" s="707"/>
      <c r="U117" s="707"/>
      <c r="V117" s="707"/>
      <c r="W117" s="707"/>
      <c r="X117" s="707"/>
      <c r="Y117" s="707"/>
      <c r="Z117" s="707"/>
      <c r="AA117" s="707"/>
      <c r="AB117" s="707"/>
      <c r="AC117" s="707"/>
      <c r="AD117" s="708"/>
      <c r="AE117" s="709" t="s">
        <v>770</v>
      </c>
      <c r="AF117" s="710"/>
      <c r="AG117" s="710"/>
      <c r="AH117" s="710"/>
      <c r="AI117" s="710"/>
      <c r="AJ117" s="710"/>
      <c r="AK117" s="710"/>
      <c r="AL117" s="710"/>
      <c r="AM117" s="710"/>
      <c r="AN117" s="710"/>
      <c r="AO117" s="710"/>
      <c r="AP117" s="710"/>
      <c r="AQ117" s="710"/>
      <c r="AR117" s="710"/>
      <c r="AS117" s="710"/>
      <c r="AT117" s="710"/>
      <c r="AU117" s="710"/>
      <c r="AV117" s="710"/>
      <c r="AW117" s="710"/>
      <c r="AX117" s="710"/>
      <c r="AY117" s="710"/>
    </row>
    <row r="118" spans="1:51" ht="40" customHeight="1" thickTop="1" thickBot="1">
      <c r="A118" s="521">
        <v>3</v>
      </c>
      <c r="B118" s="650" t="s">
        <v>760</v>
      </c>
      <c r="C118" s="651"/>
      <c r="D118" s="651"/>
      <c r="E118" s="651"/>
      <c r="F118" s="651"/>
      <c r="G118" s="650" t="s">
        <v>65</v>
      </c>
      <c r="H118" s="651"/>
      <c r="I118" s="651"/>
      <c r="J118" s="651"/>
      <c r="K118" s="651"/>
      <c r="L118" s="651"/>
      <c r="M118" s="651"/>
      <c r="N118" s="521" t="s">
        <v>66</v>
      </c>
      <c r="O118" s="668"/>
      <c r="P118" s="668"/>
      <c r="Q118" s="669"/>
      <c r="R118" s="670" t="s">
        <v>697</v>
      </c>
      <c r="S118" s="671"/>
      <c r="T118" s="671"/>
      <c r="U118" s="671"/>
      <c r="V118" s="671"/>
      <c r="W118" s="671"/>
      <c r="X118" s="671"/>
      <c r="Y118" s="671"/>
      <c r="Z118" s="671"/>
      <c r="AA118" s="671"/>
      <c r="AB118" s="671"/>
      <c r="AC118" s="671"/>
      <c r="AD118" s="672"/>
      <c r="AE118" s="510" t="s">
        <v>713</v>
      </c>
      <c r="AF118" s="673"/>
      <c r="AG118" s="673"/>
      <c r="AH118" s="673"/>
      <c r="AI118" s="673"/>
      <c r="AJ118" s="673"/>
      <c r="AK118" s="673"/>
      <c r="AL118" s="673"/>
      <c r="AM118" s="673"/>
      <c r="AN118" s="673"/>
      <c r="AO118" s="673"/>
      <c r="AP118" s="673"/>
      <c r="AQ118" s="673"/>
      <c r="AR118" s="673"/>
      <c r="AS118" s="673"/>
      <c r="AT118" s="673"/>
      <c r="AU118" s="673"/>
      <c r="AV118" s="673"/>
      <c r="AW118" s="673"/>
      <c r="AX118" s="673"/>
      <c r="AY118" s="673"/>
    </row>
    <row r="119" spans="1:51" ht="14" thickBot="1">
      <c r="A119" s="522"/>
      <c r="B119" s="652"/>
      <c r="C119" s="652"/>
      <c r="D119" s="652"/>
      <c r="E119" s="652"/>
      <c r="F119" s="652"/>
      <c r="G119" s="674" t="s">
        <v>67</v>
      </c>
      <c r="H119" s="652"/>
      <c r="I119" s="652"/>
      <c r="J119" s="652"/>
      <c r="K119" s="652"/>
      <c r="L119" s="652"/>
      <c r="M119" s="652"/>
      <c r="N119" s="675" t="s">
        <v>54</v>
      </c>
      <c r="O119" s="676"/>
      <c r="P119" s="676"/>
      <c r="Q119" s="676"/>
      <c r="R119" s="677">
        <f>監視サービス登録書!C132</f>
        <v>0</v>
      </c>
      <c r="S119" s="678"/>
      <c r="T119" s="678"/>
      <c r="U119" s="678"/>
      <c r="V119" s="678"/>
      <c r="W119" s="678"/>
      <c r="X119" s="678"/>
      <c r="Y119" s="678"/>
      <c r="Z119" s="678"/>
      <c r="AA119" s="678"/>
      <c r="AB119" s="678"/>
      <c r="AC119" s="678"/>
      <c r="AD119" s="679"/>
      <c r="AE119" s="680" t="s">
        <v>126</v>
      </c>
      <c r="AF119" s="681"/>
      <c r="AG119" s="682"/>
      <c r="AH119" s="682"/>
      <c r="AI119" s="682"/>
      <c r="AJ119" s="682"/>
      <c r="AK119" s="682"/>
      <c r="AL119" s="682"/>
      <c r="AM119" s="682"/>
      <c r="AN119" s="682"/>
      <c r="AO119" s="682"/>
      <c r="AP119" s="682"/>
      <c r="AQ119" s="682"/>
      <c r="AR119" s="682"/>
      <c r="AS119" s="682"/>
      <c r="AT119" s="682"/>
      <c r="AU119" s="682"/>
      <c r="AV119" s="682"/>
      <c r="AW119" s="682"/>
      <c r="AX119" s="682"/>
      <c r="AY119" s="682"/>
    </row>
    <row r="120" spans="1:51" ht="15.5" thickTop="1">
      <c r="A120" s="521">
        <v>4</v>
      </c>
      <c r="B120" s="650" t="s">
        <v>68</v>
      </c>
      <c r="C120" s="651"/>
      <c r="D120" s="651"/>
      <c r="E120" s="651"/>
      <c r="F120" s="651"/>
      <c r="G120" s="656" t="s">
        <v>69</v>
      </c>
      <c r="H120" s="657"/>
      <c r="I120" s="657"/>
      <c r="J120" s="657"/>
      <c r="K120" s="657"/>
      <c r="L120" s="657"/>
      <c r="M120" s="657"/>
      <c r="N120" s="658" t="s">
        <v>70</v>
      </c>
      <c r="O120" s="659"/>
      <c r="P120" s="659"/>
      <c r="Q120" s="660"/>
      <c r="R120" s="665"/>
      <c r="S120" s="666"/>
      <c r="T120" s="666"/>
      <c r="U120" s="666"/>
      <c r="V120" s="666"/>
      <c r="W120" s="666"/>
      <c r="X120" s="666"/>
      <c r="Y120" s="666"/>
      <c r="Z120" s="666"/>
      <c r="AA120" s="666"/>
      <c r="AB120" s="666"/>
      <c r="AC120" s="666"/>
      <c r="AD120" s="667"/>
      <c r="AE120" s="664" t="s">
        <v>60</v>
      </c>
      <c r="AF120" s="657"/>
      <c r="AG120" s="657"/>
      <c r="AH120" s="657"/>
      <c r="AI120" s="657"/>
      <c r="AJ120" s="657"/>
      <c r="AK120" s="657"/>
      <c r="AL120" s="657"/>
      <c r="AM120" s="657"/>
      <c r="AN120" s="657"/>
      <c r="AO120" s="657"/>
      <c r="AP120" s="657"/>
      <c r="AQ120" s="657"/>
      <c r="AR120" s="657"/>
      <c r="AS120" s="657"/>
      <c r="AT120" s="657"/>
      <c r="AU120" s="657"/>
      <c r="AV120" s="657"/>
      <c r="AW120" s="657"/>
      <c r="AX120" s="657"/>
      <c r="AY120" s="657"/>
    </row>
    <row r="121" spans="1:51" ht="15">
      <c r="A121" s="638"/>
      <c r="B121" s="640"/>
      <c r="C121" s="640"/>
      <c r="D121" s="640"/>
      <c r="E121" s="640"/>
      <c r="F121" s="640"/>
      <c r="G121" s="601" t="s">
        <v>71</v>
      </c>
      <c r="H121" s="602"/>
      <c r="I121" s="602"/>
      <c r="J121" s="602"/>
      <c r="K121" s="602"/>
      <c r="L121" s="602"/>
      <c r="M121" s="602"/>
      <c r="N121" s="603" t="s">
        <v>70</v>
      </c>
      <c r="O121" s="604"/>
      <c r="P121" s="604"/>
      <c r="Q121" s="605"/>
      <c r="R121" s="606"/>
      <c r="S121" s="607"/>
      <c r="T121" s="607"/>
      <c r="U121" s="607"/>
      <c r="V121" s="607"/>
      <c r="W121" s="607"/>
      <c r="X121" s="607"/>
      <c r="Y121" s="607"/>
      <c r="Z121" s="607"/>
      <c r="AA121" s="607"/>
      <c r="AB121" s="607"/>
      <c r="AC121" s="607"/>
      <c r="AD121" s="608"/>
      <c r="AE121" s="609"/>
      <c r="AF121" s="602"/>
      <c r="AG121" s="602"/>
      <c r="AH121" s="602"/>
      <c r="AI121" s="602"/>
      <c r="AJ121" s="602"/>
      <c r="AK121" s="602"/>
      <c r="AL121" s="602"/>
      <c r="AM121" s="602"/>
      <c r="AN121" s="602"/>
      <c r="AO121" s="602"/>
      <c r="AP121" s="602"/>
      <c r="AQ121" s="602"/>
      <c r="AR121" s="602"/>
      <c r="AS121" s="602"/>
      <c r="AT121" s="602"/>
      <c r="AU121" s="602"/>
      <c r="AV121" s="602"/>
      <c r="AW121" s="602"/>
      <c r="AX121" s="602"/>
      <c r="AY121" s="602"/>
    </row>
    <row r="122" spans="1:51" ht="15">
      <c r="A122" s="638"/>
      <c r="B122" s="640"/>
      <c r="C122" s="640"/>
      <c r="D122" s="640"/>
      <c r="E122" s="640"/>
      <c r="F122" s="640"/>
      <c r="G122" s="601" t="s">
        <v>72</v>
      </c>
      <c r="H122" s="602"/>
      <c r="I122" s="602"/>
      <c r="J122" s="602"/>
      <c r="K122" s="602"/>
      <c r="L122" s="602"/>
      <c r="M122" s="602"/>
      <c r="N122" s="603" t="s">
        <v>70</v>
      </c>
      <c r="O122" s="604"/>
      <c r="P122" s="604"/>
      <c r="Q122" s="605"/>
      <c r="R122" s="606"/>
      <c r="S122" s="607"/>
      <c r="T122" s="607"/>
      <c r="U122" s="607"/>
      <c r="V122" s="607"/>
      <c r="W122" s="607"/>
      <c r="X122" s="607"/>
      <c r="Y122" s="607"/>
      <c r="Z122" s="607"/>
      <c r="AA122" s="607"/>
      <c r="AB122" s="607"/>
      <c r="AC122" s="607"/>
      <c r="AD122" s="608"/>
      <c r="AE122" s="609"/>
      <c r="AF122" s="602"/>
      <c r="AG122" s="602"/>
      <c r="AH122" s="602"/>
      <c r="AI122" s="602"/>
      <c r="AJ122" s="602"/>
      <c r="AK122" s="602"/>
      <c r="AL122" s="602"/>
      <c r="AM122" s="602"/>
      <c r="AN122" s="602"/>
      <c r="AO122" s="602"/>
      <c r="AP122" s="602"/>
      <c r="AQ122" s="602"/>
      <c r="AR122" s="602"/>
      <c r="AS122" s="602"/>
      <c r="AT122" s="602"/>
      <c r="AU122" s="602"/>
      <c r="AV122" s="602"/>
      <c r="AW122" s="602"/>
      <c r="AX122" s="602"/>
      <c r="AY122" s="602"/>
    </row>
    <row r="123" spans="1:51" ht="15">
      <c r="A123" s="638"/>
      <c r="B123" s="640"/>
      <c r="C123" s="640"/>
      <c r="D123" s="640"/>
      <c r="E123" s="640"/>
      <c r="F123" s="640"/>
      <c r="G123" s="601" t="s">
        <v>73</v>
      </c>
      <c r="H123" s="602"/>
      <c r="I123" s="602"/>
      <c r="J123" s="602"/>
      <c r="K123" s="602"/>
      <c r="L123" s="602"/>
      <c r="M123" s="602"/>
      <c r="N123" s="603" t="s">
        <v>70</v>
      </c>
      <c r="O123" s="604"/>
      <c r="P123" s="604"/>
      <c r="Q123" s="605"/>
      <c r="R123" s="606"/>
      <c r="S123" s="607"/>
      <c r="T123" s="607"/>
      <c r="U123" s="607"/>
      <c r="V123" s="607"/>
      <c r="W123" s="607"/>
      <c r="X123" s="607"/>
      <c r="Y123" s="607"/>
      <c r="Z123" s="607"/>
      <c r="AA123" s="607"/>
      <c r="AB123" s="607"/>
      <c r="AC123" s="607"/>
      <c r="AD123" s="608"/>
      <c r="AE123" s="609"/>
      <c r="AF123" s="602"/>
      <c r="AG123" s="602"/>
      <c r="AH123" s="602"/>
      <c r="AI123" s="602"/>
      <c r="AJ123" s="602"/>
      <c r="AK123" s="602"/>
      <c r="AL123" s="602"/>
      <c r="AM123" s="602"/>
      <c r="AN123" s="602"/>
      <c r="AO123" s="602"/>
      <c r="AP123" s="602"/>
      <c r="AQ123" s="602"/>
      <c r="AR123" s="602"/>
      <c r="AS123" s="602"/>
      <c r="AT123" s="602"/>
      <c r="AU123" s="602"/>
      <c r="AV123" s="602"/>
      <c r="AW123" s="602"/>
      <c r="AX123" s="602"/>
      <c r="AY123" s="602"/>
    </row>
    <row r="124" spans="1:51" ht="15">
      <c r="A124" s="638"/>
      <c r="B124" s="640"/>
      <c r="C124" s="640"/>
      <c r="D124" s="640"/>
      <c r="E124" s="640"/>
      <c r="F124" s="640"/>
      <c r="G124" s="601" t="s">
        <v>74</v>
      </c>
      <c r="H124" s="602"/>
      <c r="I124" s="602"/>
      <c r="J124" s="602"/>
      <c r="K124" s="602"/>
      <c r="L124" s="602"/>
      <c r="M124" s="602"/>
      <c r="N124" s="603" t="s">
        <v>70</v>
      </c>
      <c r="O124" s="604"/>
      <c r="P124" s="604"/>
      <c r="Q124" s="605"/>
      <c r="R124" s="606"/>
      <c r="S124" s="607"/>
      <c r="T124" s="607"/>
      <c r="U124" s="607"/>
      <c r="V124" s="607"/>
      <c r="W124" s="607"/>
      <c r="X124" s="607"/>
      <c r="Y124" s="607"/>
      <c r="Z124" s="607"/>
      <c r="AA124" s="607"/>
      <c r="AB124" s="607"/>
      <c r="AC124" s="607"/>
      <c r="AD124" s="608"/>
      <c r="AE124" s="609"/>
      <c r="AF124" s="602"/>
      <c r="AG124" s="602"/>
      <c r="AH124" s="602"/>
      <c r="AI124" s="602"/>
      <c r="AJ124" s="602"/>
      <c r="AK124" s="602"/>
      <c r="AL124" s="602"/>
      <c r="AM124" s="602"/>
      <c r="AN124" s="602"/>
      <c r="AO124" s="602"/>
      <c r="AP124" s="602"/>
      <c r="AQ124" s="602"/>
      <c r="AR124" s="602"/>
      <c r="AS124" s="602"/>
      <c r="AT124" s="602"/>
      <c r="AU124" s="602"/>
      <c r="AV124" s="602"/>
      <c r="AW124" s="602"/>
      <c r="AX124" s="602"/>
      <c r="AY124" s="602"/>
    </row>
    <row r="125" spans="1:51" ht="15">
      <c r="A125" s="638"/>
      <c r="B125" s="640"/>
      <c r="C125" s="640"/>
      <c r="D125" s="640"/>
      <c r="E125" s="640"/>
      <c r="F125" s="640"/>
      <c r="G125" s="601" t="s">
        <v>75</v>
      </c>
      <c r="H125" s="602"/>
      <c r="I125" s="602"/>
      <c r="J125" s="602"/>
      <c r="K125" s="602"/>
      <c r="L125" s="602"/>
      <c r="M125" s="602"/>
      <c r="N125" s="603" t="s">
        <v>70</v>
      </c>
      <c r="O125" s="604"/>
      <c r="P125" s="604"/>
      <c r="Q125" s="605"/>
      <c r="R125" s="606"/>
      <c r="S125" s="607"/>
      <c r="T125" s="607"/>
      <c r="U125" s="607"/>
      <c r="V125" s="607"/>
      <c r="W125" s="607"/>
      <c r="X125" s="607"/>
      <c r="Y125" s="607"/>
      <c r="Z125" s="607"/>
      <c r="AA125" s="607"/>
      <c r="AB125" s="607"/>
      <c r="AC125" s="607"/>
      <c r="AD125" s="608"/>
      <c r="AE125" s="609"/>
      <c r="AF125" s="602"/>
      <c r="AG125" s="602"/>
      <c r="AH125" s="602"/>
      <c r="AI125" s="602"/>
      <c r="AJ125" s="602"/>
      <c r="AK125" s="602"/>
      <c r="AL125" s="602"/>
      <c r="AM125" s="602"/>
      <c r="AN125" s="602"/>
      <c r="AO125" s="602"/>
      <c r="AP125" s="602"/>
      <c r="AQ125" s="602"/>
      <c r="AR125" s="602"/>
      <c r="AS125" s="602"/>
      <c r="AT125" s="602"/>
      <c r="AU125" s="602"/>
      <c r="AV125" s="602"/>
      <c r="AW125" s="602"/>
      <c r="AX125" s="602"/>
      <c r="AY125" s="602"/>
    </row>
    <row r="126" spans="1:51" ht="15">
      <c r="A126" s="638"/>
      <c r="B126" s="640"/>
      <c r="C126" s="640"/>
      <c r="D126" s="640"/>
      <c r="E126" s="640"/>
      <c r="F126" s="640"/>
      <c r="G126" s="601" t="s">
        <v>76</v>
      </c>
      <c r="H126" s="602"/>
      <c r="I126" s="602"/>
      <c r="J126" s="602"/>
      <c r="K126" s="602"/>
      <c r="L126" s="602"/>
      <c r="M126" s="602"/>
      <c r="N126" s="603" t="s">
        <v>70</v>
      </c>
      <c r="O126" s="604"/>
      <c r="P126" s="604"/>
      <c r="Q126" s="605"/>
      <c r="R126" s="606"/>
      <c r="S126" s="607"/>
      <c r="T126" s="607"/>
      <c r="U126" s="607"/>
      <c r="V126" s="607"/>
      <c r="W126" s="607"/>
      <c r="X126" s="607"/>
      <c r="Y126" s="607"/>
      <c r="Z126" s="607"/>
      <c r="AA126" s="607"/>
      <c r="AB126" s="607"/>
      <c r="AC126" s="607"/>
      <c r="AD126" s="608"/>
      <c r="AE126" s="609"/>
      <c r="AF126" s="602"/>
      <c r="AG126" s="602"/>
      <c r="AH126" s="602"/>
      <c r="AI126" s="602"/>
      <c r="AJ126" s="602"/>
      <c r="AK126" s="602"/>
      <c r="AL126" s="602"/>
      <c r="AM126" s="602"/>
      <c r="AN126" s="602"/>
      <c r="AO126" s="602"/>
      <c r="AP126" s="602"/>
      <c r="AQ126" s="602"/>
      <c r="AR126" s="602"/>
      <c r="AS126" s="602"/>
      <c r="AT126" s="602"/>
      <c r="AU126" s="602"/>
      <c r="AV126" s="602"/>
      <c r="AW126" s="602"/>
      <c r="AX126" s="602"/>
      <c r="AY126" s="602"/>
    </row>
    <row r="127" spans="1:51" ht="15">
      <c r="A127" s="638"/>
      <c r="B127" s="640"/>
      <c r="C127" s="640"/>
      <c r="D127" s="640"/>
      <c r="E127" s="640"/>
      <c r="F127" s="640"/>
      <c r="G127" s="601" t="s">
        <v>77</v>
      </c>
      <c r="H127" s="602"/>
      <c r="I127" s="602"/>
      <c r="J127" s="602"/>
      <c r="K127" s="602"/>
      <c r="L127" s="602"/>
      <c r="M127" s="602"/>
      <c r="N127" s="603" t="s">
        <v>70</v>
      </c>
      <c r="O127" s="604"/>
      <c r="P127" s="604"/>
      <c r="Q127" s="605"/>
      <c r="R127" s="606"/>
      <c r="S127" s="607"/>
      <c r="T127" s="607"/>
      <c r="U127" s="607"/>
      <c r="V127" s="607"/>
      <c r="W127" s="607"/>
      <c r="X127" s="607"/>
      <c r="Y127" s="607"/>
      <c r="Z127" s="607"/>
      <c r="AA127" s="607"/>
      <c r="AB127" s="607"/>
      <c r="AC127" s="607"/>
      <c r="AD127" s="608"/>
      <c r="AE127" s="609"/>
      <c r="AF127" s="602"/>
      <c r="AG127" s="602"/>
      <c r="AH127" s="602"/>
      <c r="AI127" s="602"/>
      <c r="AJ127" s="602"/>
      <c r="AK127" s="602"/>
      <c r="AL127" s="602"/>
      <c r="AM127" s="602"/>
      <c r="AN127" s="602"/>
      <c r="AO127" s="602"/>
      <c r="AP127" s="602"/>
      <c r="AQ127" s="602"/>
      <c r="AR127" s="602"/>
      <c r="AS127" s="602"/>
      <c r="AT127" s="602"/>
      <c r="AU127" s="602"/>
      <c r="AV127" s="602"/>
      <c r="AW127" s="602"/>
      <c r="AX127" s="602"/>
      <c r="AY127" s="602"/>
    </row>
    <row r="128" spans="1:51" ht="15">
      <c r="A128" s="638"/>
      <c r="B128" s="640"/>
      <c r="C128" s="640"/>
      <c r="D128" s="640"/>
      <c r="E128" s="640"/>
      <c r="F128" s="640"/>
      <c r="G128" s="601" t="s">
        <v>78</v>
      </c>
      <c r="H128" s="602"/>
      <c r="I128" s="602"/>
      <c r="J128" s="602"/>
      <c r="K128" s="602"/>
      <c r="L128" s="602"/>
      <c r="M128" s="602"/>
      <c r="N128" s="603" t="s">
        <v>70</v>
      </c>
      <c r="O128" s="604"/>
      <c r="P128" s="604"/>
      <c r="Q128" s="605"/>
      <c r="R128" s="606"/>
      <c r="S128" s="607"/>
      <c r="T128" s="607"/>
      <c r="U128" s="607"/>
      <c r="V128" s="607"/>
      <c r="W128" s="607"/>
      <c r="X128" s="607"/>
      <c r="Y128" s="607"/>
      <c r="Z128" s="607"/>
      <c r="AA128" s="607"/>
      <c r="AB128" s="607"/>
      <c r="AC128" s="607"/>
      <c r="AD128" s="608"/>
      <c r="AE128" s="609"/>
      <c r="AF128" s="602"/>
      <c r="AG128" s="602"/>
      <c r="AH128" s="602"/>
      <c r="AI128" s="602"/>
      <c r="AJ128" s="602"/>
      <c r="AK128" s="602"/>
      <c r="AL128" s="602"/>
      <c r="AM128" s="602"/>
      <c r="AN128" s="602"/>
      <c r="AO128" s="602"/>
      <c r="AP128" s="602"/>
      <c r="AQ128" s="602"/>
      <c r="AR128" s="602"/>
      <c r="AS128" s="602"/>
      <c r="AT128" s="602"/>
      <c r="AU128" s="602"/>
      <c r="AV128" s="602"/>
      <c r="AW128" s="602"/>
      <c r="AX128" s="602"/>
      <c r="AY128" s="602"/>
    </row>
    <row r="129" spans="1:51" ht="15">
      <c r="A129" s="638"/>
      <c r="B129" s="640"/>
      <c r="C129" s="640"/>
      <c r="D129" s="640"/>
      <c r="E129" s="640"/>
      <c r="F129" s="640"/>
      <c r="G129" s="601" t="s">
        <v>79</v>
      </c>
      <c r="H129" s="602"/>
      <c r="I129" s="602"/>
      <c r="J129" s="602"/>
      <c r="K129" s="602"/>
      <c r="L129" s="602"/>
      <c r="M129" s="602"/>
      <c r="N129" s="603" t="s">
        <v>70</v>
      </c>
      <c r="O129" s="604"/>
      <c r="P129" s="604"/>
      <c r="Q129" s="605"/>
      <c r="R129" s="606"/>
      <c r="S129" s="607"/>
      <c r="T129" s="607"/>
      <c r="U129" s="607"/>
      <c r="V129" s="607"/>
      <c r="W129" s="607"/>
      <c r="X129" s="607"/>
      <c r="Y129" s="607"/>
      <c r="Z129" s="607"/>
      <c r="AA129" s="607"/>
      <c r="AB129" s="607"/>
      <c r="AC129" s="607"/>
      <c r="AD129" s="608"/>
      <c r="AE129" s="609"/>
      <c r="AF129" s="602"/>
      <c r="AG129" s="602"/>
      <c r="AH129" s="602"/>
      <c r="AI129" s="602"/>
      <c r="AJ129" s="602"/>
      <c r="AK129" s="602"/>
      <c r="AL129" s="602"/>
      <c r="AM129" s="602"/>
      <c r="AN129" s="602"/>
      <c r="AO129" s="602"/>
      <c r="AP129" s="602"/>
      <c r="AQ129" s="602"/>
      <c r="AR129" s="602"/>
      <c r="AS129" s="602"/>
      <c r="AT129" s="602"/>
      <c r="AU129" s="602"/>
      <c r="AV129" s="602"/>
      <c r="AW129" s="602"/>
      <c r="AX129" s="602"/>
      <c r="AY129" s="602"/>
    </row>
    <row r="130" spans="1:51" ht="15.5" thickBot="1">
      <c r="A130" s="522"/>
      <c r="B130" s="652"/>
      <c r="C130" s="652"/>
      <c r="D130" s="652"/>
      <c r="E130" s="652"/>
      <c r="F130" s="652"/>
      <c r="G130" s="628" t="s">
        <v>80</v>
      </c>
      <c r="H130" s="629"/>
      <c r="I130" s="629"/>
      <c r="J130" s="629"/>
      <c r="K130" s="629"/>
      <c r="L130" s="629"/>
      <c r="M130" s="629"/>
      <c r="N130" s="630">
        <v>7</v>
      </c>
      <c r="O130" s="631"/>
      <c r="P130" s="631"/>
      <c r="Q130" s="632"/>
      <c r="R130" s="633"/>
      <c r="S130" s="634"/>
      <c r="T130" s="634"/>
      <c r="U130" s="634"/>
      <c r="V130" s="634"/>
      <c r="W130" s="634"/>
      <c r="X130" s="634"/>
      <c r="Y130" s="634"/>
      <c r="Z130" s="634"/>
      <c r="AA130" s="634"/>
      <c r="AB130" s="634"/>
      <c r="AC130" s="634"/>
      <c r="AD130" s="635"/>
      <c r="AE130" s="636" t="s">
        <v>81</v>
      </c>
      <c r="AF130" s="629"/>
      <c r="AG130" s="629"/>
      <c r="AH130" s="629"/>
      <c r="AI130" s="629"/>
      <c r="AJ130" s="629"/>
      <c r="AK130" s="629"/>
      <c r="AL130" s="629"/>
      <c r="AM130" s="629"/>
      <c r="AN130" s="629"/>
      <c r="AO130" s="629"/>
      <c r="AP130" s="629"/>
      <c r="AQ130" s="629"/>
      <c r="AR130" s="629"/>
      <c r="AS130" s="629"/>
      <c r="AT130" s="629"/>
      <c r="AU130" s="629"/>
      <c r="AV130" s="629"/>
      <c r="AW130" s="629"/>
      <c r="AX130" s="629"/>
      <c r="AY130" s="629"/>
    </row>
    <row r="131" spans="1:51" ht="15.5" thickTop="1">
      <c r="A131" s="521">
        <v>5</v>
      </c>
      <c r="B131" s="650" t="s">
        <v>82</v>
      </c>
      <c r="C131" s="651"/>
      <c r="D131" s="651"/>
      <c r="E131" s="651"/>
      <c r="F131" s="651"/>
      <c r="G131" s="656" t="s">
        <v>83</v>
      </c>
      <c r="H131" s="657"/>
      <c r="I131" s="657"/>
      <c r="J131" s="657"/>
      <c r="K131" s="657"/>
      <c r="L131" s="657"/>
      <c r="M131" s="657"/>
      <c r="N131" s="658" t="s">
        <v>84</v>
      </c>
      <c r="O131" s="659"/>
      <c r="P131" s="659"/>
      <c r="Q131" s="660"/>
      <c r="R131" s="661"/>
      <c r="S131" s="662"/>
      <c r="T131" s="662"/>
      <c r="U131" s="662"/>
      <c r="V131" s="662"/>
      <c r="W131" s="662"/>
      <c r="X131" s="662"/>
      <c r="Y131" s="662"/>
      <c r="Z131" s="662"/>
      <c r="AA131" s="662"/>
      <c r="AB131" s="662"/>
      <c r="AC131" s="662"/>
      <c r="AD131" s="663"/>
      <c r="AE131" s="664" t="s">
        <v>85</v>
      </c>
      <c r="AF131" s="657"/>
      <c r="AG131" s="657"/>
      <c r="AH131" s="657"/>
      <c r="AI131" s="657"/>
      <c r="AJ131" s="657"/>
      <c r="AK131" s="657"/>
      <c r="AL131" s="657"/>
      <c r="AM131" s="657"/>
      <c r="AN131" s="657"/>
      <c r="AO131" s="657"/>
      <c r="AP131" s="657"/>
      <c r="AQ131" s="657"/>
      <c r="AR131" s="657"/>
      <c r="AS131" s="657"/>
      <c r="AT131" s="657"/>
      <c r="AU131" s="657"/>
      <c r="AV131" s="657"/>
      <c r="AW131" s="657"/>
      <c r="AX131" s="657"/>
      <c r="AY131" s="657"/>
    </row>
    <row r="132" spans="1:51" ht="15">
      <c r="A132" s="638"/>
      <c r="B132" s="640"/>
      <c r="C132" s="640"/>
      <c r="D132" s="640"/>
      <c r="E132" s="640"/>
      <c r="F132" s="640"/>
      <c r="G132" s="601" t="s">
        <v>86</v>
      </c>
      <c r="H132" s="602"/>
      <c r="I132" s="602"/>
      <c r="J132" s="602"/>
      <c r="K132" s="602"/>
      <c r="L132" s="602"/>
      <c r="M132" s="602"/>
      <c r="N132" s="603" t="s">
        <v>84</v>
      </c>
      <c r="O132" s="604"/>
      <c r="P132" s="604"/>
      <c r="Q132" s="605"/>
      <c r="R132" s="606"/>
      <c r="S132" s="607"/>
      <c r="T132" s="607"/>
      <c r="U132" s="607"/>
      <c r="V132" s="607"/>
      <c r="W132" s="607"/>
      <c r="X132" s="607"/>
      <c r="Y132" s="607"/>
      <c r="Z132" s="607"/>
      <c r="AA132" s="607"/>
      <c r="AB132" s="607"/>
      <c r="AC132" s="607"/>
      <c r="AD132" s="608"/>
      <c r="AE132" s="609" t="s">
        <v>85</v>
      </c>
      <c r="AF132" s="602"/>
      <c r="AG132" s="602"/>
      <c r="AH132" s="602"/>
      <c r="AI132" s="602"/>
      <c r="AJ132" s="602"/>
      <c r="AK132" s="602"/>
      <c r="AL132" s="602"/>
      <c r="AM132" s="602"/>
      <c r="AN132" s="602"/>
      <c r="AO132" s="602"/>
      <c r="AP132" s="602"/>
      <c r="AQ132" s="602"/>
      <c r="AR132" s="602"/>
      <c r="AS132" s="602"/>
      <c r="AT132" s="602"/>
      <c r="AU132" s="602"/>
      <c r="AV132" s="602"/>
      <c r="AW132" s="602"/>
      <c r="AX132" s="602"/>
      <c r="AY132" s="602"/>
    </row>
    <row r="133" spans="1:51" ht="15">
      <c r="A133" s="638"/>
      <c r="B133" s="640"/>
      <c r="C133" s="640"/>
      <c r="D133" s="640"/>
      <c r="E133" s="640"/>
      <c r="F133" s="640"/>
      <c r="G133" s="601" t="s">
        <v>87</v>
      </c>
      <c r="H133" s="602"/>
      <c r="I133" s="602"/>
      <c r="J133" s="602"/>
      <c r="K133" s="602"/>
      <c r="L133" s="602"/>
      <c r="M133" s="602"/>
      <c r="N133" s="603" t="s">
        <v>84</v>
      </c>
      <c r="O133" s="604"/>
      <c r="P133" s="604"/>
      <c r="Q133" s="605"/>
      <c r="R133" s="606"/>
      <c r="S133" s="607"/>
      <c r="T133" s="607"/>
      <c r="U133" s="607"/>
      <c r="V133" s="607"/>
      <c r="W133" s="607"/>
      <c r="X133" s="607"/>
      <c r="Y133" s="607"/>
      <c r="Z133" s="607"/>
      <c r="AA133" s="607"/>
      <c r="AB133" s="607"/>
      <c r="AC133" s="607"/>
      <c r="AD133" s="608"/>
      <c r="AE133" s="609" t="s">
        <v>85</v>
      </c>
      <c r="AF133" s="602"/>
      <c r="AG133" s="602"/>
      <c r="AH133" s="602"/>
      <c r="AI133" s="602"/>
      <c r="AJ133" s="602"/>
      <c r="AK133" s="602"/>
      <c r="AL133" s="602"/>
      <c r="AM133" s="602"/>
      <c r="AN133" s="602"/>
      <c r="AO133" s="602"/>
      <c r="AP133" s="602"/>
      <c r="AQ133" s="602"/>
      <c r="AR133" s="602"/>
      <c r="AS133" s="602"/>
      <c r="AT133" s="602"/>
      <c r="AU133" s="602"/>
      <c r="AV133" s="602"/>
      <c r="AW133" s="602"/>
      <c r="AX133" s="602"/>
      <c r="AY133" s="602"/>
    </row>
    <row r="134" spans="1:51" ht="15.5" thickBot="1">
      <c r="A134" s="522"/>
      <c r="B134" s="652"/>
      <c r="C134" s="652"/>
      <c r="D134" s="652"/>
      <c r="E134" s="652"/>
      <c r="F134" s="652"/>
      <c r="G134" s="628" t="s">
        <v>88</v>
      </c>
      <c r="H134" s="629"/>
      <c r="I134" s="629"/>
      <c r="J134" s="629"/>
      <c r="K134" s="629"/>
      <c r="L134" s="629"/>
      <c r="M134" s="629"/>
      <c r="N134" s="630" t="s">
        <v>84</v>
      </c>
      <c r="O134" s="631"/>
      <c r="P134" s="631"/>
      <c r="Q134" s="632"/>
      <c r="R134" s="633"/>
      <c r="S134" s="634"/>
      <c r="T134" s="634"/>
      <c r="U134" s="634"/>
      <c r="V134" s="634"/>
      <c r="W134" s="634"/>
      <c r="X134" s="634"/>
      <c r="Y134" s="634"/>
      <c r="Z134" s="634"/>
      <c r="AA134" s="634"/>
      <c r="AB134" s="634"/>
      <c r="AC134" s="634"/>
      <c r="AD134" s="635"/>
      <c r="AE134" s="636" t="s">
        <v>85</v>
      </c>
      <c r="AF134" s="629"/>
      <c r="AG134" s="629"/>
      <c r="AH134" s="629"/>
      <c r="AI134" s="629"/>
      <c r="AJ134" s="629"/>
      <c r="AK134" s="629"/>
      <c r="AL134" s="629"/>
      <c r="AM134" s="629"/>
      <c r="AN134" s="629"/>
      <c r="AO134" s="629"/>
      <c r="AP134" s="629"/>
      <c r="AQ134" s="629"/>
      <c r="AR134" s="629"/>
      <c r="AS134" s="629"/>
      <c r="AT134" s="629"/>
      <c r="AU134" s="629"/>
      <c r="AV134" s="629"/>
      <c r="AW134" s="629"/>
      <c r="AX134" s="629"/>
      <c r="AY134" s="629"/>
    </row>
    <row r="135" spans="1:51" ht="15.5" thickTop="1">
      <c r="A135" s="637">
        <v>6</v>
      </c>
      <c r="B135" s="591" t="s">
        <v>89</v>
      </c>
      <c r="C135" s="639"/>
      <c r="D135" s="639"/>
      <c r="E135" s="639"/>
      <c r="F135" s="639"/>
      <c r="G135" s="641" t="s">
        <v>90</v>
      </c>
      <c r="H135" s="642"/>
      <c r="I135" s="642"/>
      <c r="J135" s="642"/>
      <c r="K135" s="642"/>
      <c r="L135" s="642"/>
      <c r="M135" s="642"/>
      <c r="N135" s="643" t="s">
        <v>91</v>
      </c>
      <c r="O135" s="644"/>
      <c r="P135" s="644"/>
      <c r="Q135" s="645"/>
      <c r="R135" s="646"/>
      <c r="S135" s="647"/>
      <c r="T135" s="647"/>
      <c r="U135" s="647"/>
      <c r="V135" s="647"/>
      <c r="W135" s="647"/>
      <c r="X135" s="647"/>
      <c r="Y135" s="647"/>
      <c r="Z135" s="647"/>
      <c r="AA135" s="647"/>
      <c r="AB135" s="647"/>
      <c r="AC135" s="647"/>
      <c r="AD135" s="648"/>
      <c r="AE135" s="649" t="s">
        <v>92</v>
      </c>
      <c r="AF135" s="642"/>
      <c r="AG135" s="642"/>
      <c r="AH135" s="642"/>
      <c r="AI135" s="642"/>
      <c r="AJ135" s="642"/>
      <c r="AK135" s="642"/>
      <c r="AL135" s="642"/>
      <c r="AM135" s="642"/>
      <c r="AN135" s="642"/>
      <c r="AO135" s="642"/>
      <c r="AP135" s="642"/>
      <c r="AQ135" s="642"/>
      <c r="AR135" s="642"/>
      <c r="AS135" s="642"/>
      <c r="AT135" s="642"/>
      <c r="AU135" s="642"/>
      <c r="AV135" s="642"/>
      <c r="AW135" s="642"/>
      <c r="AX135" s="642"/>
      <c r="AY135" s="642"/>
    </row>
    <row r="136" spans="1:51" ht="15">
      <c r="A136" s="638"/>
      <c r="B136" s="640"/>
      <c r="C136" s="640"/>
      <c r="D136" s="640"/>
      <c r="E136" s="640"/>
      <c r="F136" s="640"/>
      <c r="G136" s="591"/>
      <c r="H136" s="592"/>
      <c r="I136" s="592"/>
      <c r="J136" s="592"/>
      <c r="K136" s="592"/>
      <c r="L136" s="592"/>
      <c r="M136" s="592"/>
      <c r="N136" s="593"/>
      <c r="O136" s="594"/>
      <c r="P136" s="594"/>
      <c r="Q136" s="595"/>
      <c r="R136" s="596" t="s">
        <v>93</v>
      </c>
      <c r="S136" s="597"/>
      <c r="T136" s="597"/>
      <c r="U136" s="597"/>
      <c r="V136" s="597"/>
      <c r="W136" s="597"/>
      <c r="X136" s="597"/>
      <c r="Y136" s="597"/>
      <c r="Z136" s="597"/>
      <c r="AA136" s="597"/>
      <c r="AB136" s="597"/>
      <c r="AC136" s="597"/>
      <c r="AD136" s="598"/>
      <c r="AE136" s="599" t="s">
        <v>94</v>
      </c>
      <c r="AF136" s="600"/>
      <c r="AG136" s="600"/>
      <c r="AH136" s="600"/>
      <c r="AI136" s="600"/>
      <c r="AJ136" s="600"/>
      <c r="AK136" s="600"/>
      <c r="AL136" s="600"/>
      <c r="AM136" s="600"/>
      <c r="AN136" s="600"/>
      <c r="AO136" s="600"/>
      <c r="AP136" s="600"/>
      <c r="AQ136" s="600"/>
      <c r="AR136" s="600"/>
      <c r="AS136" s="600"/>
      <c r="AT136" s="600"/>
      <c r="AU136" s="600"/>
      <c r="AV136" s="600"/>
      <c r="AW136" s="600"/>
      <c r="AX136" s="600"/>
      <c r="AY136" s="600"/>
    </row>
    <row r="137" spans="1:51" ht="15">
      <c r="A137" s="638"/>
      <c r="B137" s="640"/>
      <c r="C137" s="640"/>
      <c r="D137" s="640"/>
      <c r="E137" s="640"/>
      <c r="F137" s="640"/>
      <c r="G137" s="601" t="s">
        <v>95</v>
      </c>
      <c r="H137" s="602"/>
      <c r="I137" s="602"/>
      <c r="J137" s="602"/>
      <c r="K137" s="602"/>
      <c r="L137" s="602"/>
      <c r="M137" s="602"/>
      <c r="N137" s="603">
        <v>0</v>
      </c>
      <c r="O137" s="604"/>
      <c r="P137" s="604"/>
      <c r="Q137" s="605"/>
      <c r="R137" s="606"/>
      <c r="S137" s="607"/>
      <c r="T137" s="607"/>
      <c r="U137" s="607"/>
      <c r="V137" s="607"/>
      <c r="W137" s="607"/>
      <c r="X137" s="607"/>
      <c r="Y137" s="607"/>
      <c r="Z137" s="607"/>
      <c r="AA137" s="607"/>
      <c r="AB137" s="607"/>
      <c r="AC137" s="607"/>
      <c r="AD137" s="608"/>
      <c r="AE137" s="609" t="s">
        <v>96</v>
      </c>
      <c r="AF137" s="602"/>
      <c r="AG137" s="602"/>
      <c r="AH137" s="602"/>
      <c r="AI137" s="602"/>
      <c r="AJ137" s="602"/>
      <c r="AK137" s="602"/>
      <c r="AL137" s="602"/>
      <c r="AM137" s="602"/>
      <c r="AN137" s="602"/>
      <c r="AO137" s="602"/>
      <c r="AP137" s="602"/>
      <c r="AQ137" s="602"/>
      <c r="AR137" s="602"/>
      <c r="AS137" s="602"/>
      <c r="AT137" s="602"/>
      <c r="AU137" s="602"/>
      <c r="AV137" s="602"/>
      <c r="AW137" s="602"/>
      <c r="AX137" s="602"/>
      <c r="AY137" s="602"/>
    </row>
    <row r="138" spans="1:51" ht="15.5" thickBot="1">
      <c r="A138" s="638"/>
      <c r="B138" s="640"/>
      <c r="C138" s="640"/>
      <c r="D138" s="640"/>
      <c r="E138" s="640"/>
      <c r="F138" s="640"/>
      <c r="G138" s="601" t="s">
        <v>97</v>
      </c>
      <c r="H138" s="602"/>
      <c r="I138" s="602"/>
      <c r="J138" s="602"/>
      <c r="K138" s="602"/>
      <c r="L138" s="602"/>
      <c r="M138" s="602"/>
      <c r="N138" s="603">
        <v>1</v>
      </c>
      <c r="O138" s="604"/>
      <c r="P138" s="604"/>
      <c r="Q138" s="605"/>
      <c r="R138" s="653"/>
      <c r="S138" s="654"/>
      <c r="T138" s="654"/>
      <c r="U138" s="654"/>
      <c r="V138" s="654"/>
      <c r="W138" s="654"/>
      <c r="X138" s="654"/>
      <c r="Y138" s="654"/>
      <c r="Z138" s="654"/>
      <c r="AA138" s="654"/>
      <c r="AB138" s="654"/>
      <c r="AC138" s="654"/>
      <c r="AD138" s="655"/>
      <c r="AE138" s="609" t="s">
        <v>98</v>
      </c>
      <c r="AF138" s="602"/>
      <c r="AG138" s="602"/>
      <c r="AH138" s="602"/>
      <c r="AI138" s="602"/>
      <c r="AJ138" s="602"/>
      <c r="AK138" s="602"/>
      <c r="AL138" s="602"/>
      <c r="AM138" s="602"/>
      <c r="AN138" s="602"/>
      <c r="AO138" s="602"/>
      <c r="AP138" s="602"/>
      <c r="AQ138" s="602"/>
      <c r="AR138" s="602"/>
      <c r="AS138" s="602"/>
      <c r="AT138" s="602"/>
      <c r="AU138" s="602"/>
      <c r="AV138" s="602"/>
      <c r="AW138" s="602"/>
      <c r="AX138" s="602"/>
      <c r="AY138" s="602"/>
    </row>
    <row r="140" spans="1:51" ht="15.5" thickBot="1">
      <c r="A140" s="2" t="s">
        <v>127</v>
      </c>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51" ht="15">
      <c r="A141" s="588" t="s">
        <v>128</v>
      </c>
      <c r="B141" s="589"/>
      <c r="C141" s="589"/>
      <c r="D141" s="589"/>
      <c r="E141" s="589"/>
      <c r="F141" s="589"/>
      <c r="G141" s="589"/>
      <c r="H141" s="589"/>
      <c r="I141" s="589"/>
      <c r="J141" s="589"/>
      <c r="K141" s="589"/>
      <c r="L141" s="589"/>
      <c r="M141" s="589"/>
      <c r="N141" s="589"/>
      <c r="O141" s="589"/>
      <c r="P141" s="589"/>
      <c r="Q141" s="590"/>
      <c r="R141" s="579"/>
      <c r="S141" s="580"/>
      <c r="T141" s="580"/>
      <c r="U141" s="580"/>
      <c r="V141" s="580"/>
      <c r="W141" s="580"/>
      <c r="X141" s="580"/>
      <c r="Y141" s="580"/>
      <c r="Z141" s="580"/>
      <c r="AA141" s="580"/>
      <c r="AB141" s="580"/>
      <c r="AC141" s="580"/>
      <c r="AD141" s="583"/>
      <c r="AE141" s="474" t="s">
        <v>786</v>
      </c>
      <c r="AF141" s="537"/>
      <c r="AG141" s="537"/>
      <c r="AH141" s="537"/>
      <c r="AI141" s="537"/>
      <c r="AJ141" s="537"/>
      <c r="AK141" s="537"/>
      <c r="AL141" s="537"/>
      <c r="AM141" s="537"/>
      <c r="AN141" s="537"/>
      <c r="AO141" s="537"/>
      <c r="AP141" s="537"/>
      <c r="AQ141" s="537"/>
      <c r="AR141" s="537"/>
      <c r="AS141" s="537"/>
      <c r="AT141" s="537"/>
      <c r="AU141" s="537"/>
      <c r="AV141" s="537"/>
      <c r="AW141" s="537"/>
      <c r="AX141" s="537"/>
      <c r="AY141" s="475"/>
    </row>
    <row r="142" spans="1:51" ht="15">
      <c r="A142" s="588" t="s">
        <v>129</v>
      </c>
      <c r="B142" s="589"/>
      <c r="C142" s="589"/>
      <c r="D142" s="589"/>
      <c r="E142" s="589"/>
      <c r="F142" s="589"/>
      <c r="G142" s="589"/>
      <c r="H142" s="589"/>
      <c r="I142" s="589"/>
      <c r="J142" s="589"/>
      <c r="K142" s="589"/>
      <c r="L142" s="589"/>
      <c r="M142" s="589"/>
      <c r="N142" s="589"/>
      <c r="O142" s="589"/>
      <c r="P142" s="589"/>
      <c r="Q142" s="590"/>
      <c r="R142" s="572"/>
      <c r="S142" s="573"/>
      <c r="T142" s="573"/>
      <c r="U142" s="573"/>
      <c r="V142" s="573"/>
      <c r="W142" s="573"/>
      <c r="X142" s="573"/>
      <c r="Y142" s="573"/>
      <c r="Z142" s="573"/>
      <c r="AA142" s="573"/>
      <c r="AB142" s="573"/>
      <c r="AC142" s="573"/>
      <c r="AD142" s="576"/>
      <c r="AE142" s="476"/>
      <c r="AF142" s="538"/>
      <c r="AG142" s="538"/>
      <c r="AH142" s="538"/>
      <c r="AI142" s="538"/>
      <c r="AJ142" s="538"/>
      <c r="AK142" s="538"/>
      <c r="AL142" s="538"/>
      <c r="AM142" s="538"/>
      <c r="AN142" s="538"/>
      <c r="AO142" s="538"/>
      <c r="AP142" s="538"/>
      <c r="AQ142" s="538"/>
      <c r="AR142" s="538"/>
      <c r="AS142" s="538"/>
      <c r="AT142" s="538"/>
      <c r="AU142" s="538"/>
      <c r="AV142" s="538"/>
      <c r="AW142" s="538"/>
      <c r="AX142" s="538"/>
      <c r="AY142" s="477"/>
    </row>
    <row r="143" spans="1:51" ht="15">
      <c r="A143" s="610" t="s">
        <v>130</v>
      </c>
      <c r="B143" s="611"/>
      <c r="C143" s="611"/>
      <c r="D143" s="611"/>
      <c r="E143" s="611"/>
      <c r="F143" s="611"/>
      <c r="G143" s="611"/>
      <c r="H143" s="611"/>
      <c r="I143" s="612"/>
      <c r="J143" s="619" t="s">
        <v>131</v>
      </c>
      <c r="K143" s="620"/>
      <c r="L143" s="620"/>
      <c r="M143" s="620"/>
      <c r="N143" s="620"/>
      <c r="O143" s="620"/>
      <c r="P143" s="620"/>
      <c r="Q143" s="621"/>
      <c r="R143" s="622"/>
      <c r="S143" s="623"/>
      <c r="T143" s="623"/>
      <c r="U143" s="623"/>
      <c r="V143" s="623"/>
      <c r="W143" s="623"/>
      <c r="X143" s="623"/>
      <c r="Y143" s="623"/>
      <c r="Z143" s="623"/>
      <c r="AA143" s="623"/>
      <c r="AB143" s="623"/>
      <c r="AC143" s="623"/>
      <c r="AD143" s="624"/>
      <c r="AE143" s="476"/>
      <c r="AF143" s="538"/>
      <c r="AG143" s="538"/>
      <c r="AH143" s="538"/>
      <c r="AI143" s="538"/>
      <c r="AJ143" s="538"/>
      <c r="AK143" s="538"/>
      <c r="AL143" s="538"/>
      <c r="AM143" s="538"/>
      <c r="AN143" s="538"/>
      <c r="AO143" s="538"/>
      <c r="AP143" s="538"/>
      <c r="AQ143" s="538"/>
      <c r="AR143" s="538"/>
      <c r="AS143" s="538"/>
      <c r="AT143" s="538"/>
      <c r="AU143" s="538"/>
      <c r="AV143" s="538"/>
      <c r="AW143" s="538"/>
      <c r="AX143" s="538"/>
      <c r="AY143" s="477"/>
    </row>
    <row r="144" spans="1:51" ht="15">
      <c r="A144" s="613"/>
      <c r="B144" s="614"/>
      <c r="C144" s="614"/>
      <c r="D144" s="614"/>
      <c r="E144" s="614"/>
      <c r="F144" s="614"/>
      <c r="G144" s="614"/>
      <c r="H144" s="614"/>
      <c r="I144" s="615"/>
      <c r="J144" s="588" t="s">
        <v>132</v>
      </c>
      <c r="K144" s="589"/>
      <c r="L144" s="589"/>
      <c r="M144" s="589"/>
      <c r="N144" s="589"/>
      <c r="O144" s="589"/>
      <c r="P144" s="589"/>
      <c r="Q144" s="590"/>
      <c r="R144" s="572"/>
      <c r="S144" s="573"/>
      <c r="T144" s="573"/>
      <c r="U144" s="573"/>
      <c r="V144" s="573"/>
      <c r="W144" s="573"/>
      <c r="X144" s="573"/>
      <c r="Y144" s="573"/>
      <c r="Z144" s="573"/>
      <c r="AA144" s="573"/>
      <c r="AB144" s="573"/>
      <c r="AC144" s="573"/>
      <c r="AD144" s="576"/>
      <c r="AE144" s="476"/>
      <c r="AF144" s="538"/>
      <c r="AG144" s="538"/>
      <c r="AH144" s="538"/>
      <c r="AI144" s="538"/>
      <c r="AJ144" s="538"/>
      <c r="AK144" s="538"/>
      <c r="AL144" s="538"/>
      <c r="AM144" s="538"/>
      <c r="AN144" s="538"/>
      <c r="AO144" s="538"/>
      <c r="AP144" s="538"/>
      <c r="AQ144" s="538"/>
      <c r="AR144" s="538"/>
      <c r="AS144" s="538"/>
      <c r="AT144" s="538"/>
      <c r="AU144" s="538"/>
      <c r="AV144" s="538"/>
      <c r="AW144" s="538"/>
      <c r="AX144" s="538"/>
      <c r="AY144" s="477"/>
    </row>
    <row r="145" spans="1:51" ht="15">
      <c r="A145" s="613"/>
      <c r="B145" s="614"/>
      <c r="C145" s="614"/>
      <c r="D145" s="614"/>
      <c r="E145" s="614"/>
      <c r="F145" s="614"/>
      <c r="G145" s="614"/>
      <c r="H145" s="614"/>
      <c r="I145" s="615"/>
      <c r="J145" s="588" t="s">
        <v>133</v>
      </c>
      <c r="K145" s="589"/>
      <c r="L145" s="589"/>
      <c r="M145" s="589"/>
      <c r="N145" s="589"/>
      <c r="O145" s="589"/>
      <c r="P145" s="589"/>
      <c r="Q145" s="590"/>
      <c r="R145" s="625"/>
      <c r="S145" s="626"/>
      <c r="T145" s="626"/>
      <c r="U145" s="626"/>
      <c r="V145" s="626"/>
      <c r="W145" s="626"/>
      <c r="X145" s="626"/>
      <c r="Y145" s="626"/>
      <c r="Z145" s="626"/>
      <c r="AA145" s="626"/>
      <c r="AB145" s="626"/>
      <c r="AC145" s="626"/>
      <c r="AD145" s="627"/>
      <c r="AE145" s="476"/>
      <c r="AF145" s="538"/>
      <c r="AG145" s="538"/>
      <c r="AH145" s="538"/>
      <c r="AI145" s="538"/>
      <c r="AJ145" s="538"/>
      <c r="AK145" s="538"/>
      <c r="AL145" s="538"/>
      <c r="AM145" s="538"/>
      <c r="AN145" s="538"/>
      <c r="AO145" s="538"/>
      <c r="AP145" s="538"/>
      <c r="AQ145" s="538"/>
      <c r="AR145" s="538"/>
      <c r="AS145" s="538"/>
      <c r="AT145" s="538"/>
      <c r="AU145" s="538"/>
      <c r="AV145" s="538"/>
      <c r="AW145" s="538"/>
      <c r="AX145" s="538"/>
      <c r="AY145" s="477"/>
    </row>
    <row r="146" spans="1:51" ht="15.5" thickBot="1">
      <c r="A146" s="616"/>
      <c r="B146" s="617"/>
      <c r="C146" s="617"/>
      <c r="D146" s="617"/>
      <c r="E146" s="617"/>
      <c r="F146" s="617"/>
      <c r="G146" s="617"/>
      <c r="H146" s="617"/>
      <c r="I146" s="618"/>
      <c r="J146" s="588" t="s">
        <v>134</v>
      </c>
      <c r="K146" s="589"/>
      <c r="L146" s="589"/>
      <c r="M146" s="589"/>
      <c r="N146" s="589"/>
      <c r="O146" s="589"/>
      <c r="P146" s="589"/>
      <c r="Q146" s="590"/>
      <c r="R146" s="569"/>
      <c r="S146" s="570"/>
      <c r="T146" s="570"/>
      <c r="U146" s="570"/>
      <c r="V146" s="570"/>
      <c r="W146" s="570"/>
      <c r="X146" s="570"/>
      <c r="Y146" s="570"/>
      <c r="Z146" s="570"/>
      <c r="AA146" s="570"/>
      <c r="AB146" s="570"/>
      <c r="AC146" s="570"/>
      <c r="AD146" s="562"/>
      <c r="AE146" s="478"/>
      <c r="AF146" s="539"/>
      <c r="AG146" s="539"/>
      <c r="AH146" s="539"/>
      <c r="AI146" s="539"/>
      <c r="AJ146" s="539"/>
      <c r="AK146" s="539"/>
      <c r="AL146" s="539"/>
      <c r="AM146" s="539"/>
      <c r="AN146" s="539"/>
      <c r="AO146" s="539"/>
      <c r="AP146" s="539"/>
      <c r="AQ146" s="539"/>
      <c r="AR146" s="539"/>
      <c r="AS146" s="539"/>
      <c r="AT146" s="539"/>
      <c r="AU146" s="539"/>
      <c r="AV146" s="539"/>
      <c r="AW146" s="539"/>
      <c r="AX146" s="539"/>
      <c r="AY146" s="479"/>
    </row>
    <row r="148" spans="1:51" ht="15">
      <c r="A148" s="2" t="s">
        <v>135</v>
      </c>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row>
    <row r="149" spans="1:51" ht="15">
      <c r="A149" s="584" t="s">
        <v>136</v>
      </c>
      <c r="B149" s="585"/>
      <c r="C149" s="585"/>
      <c r="D149" s="585"/>
      <c r="E149" s="584" t="s">
        <v>137</v>
      </c>
      <c r="F149" s="585"/>
      <c r="G149" s="585"/>
      <c r="H149" s="585"/>
      <c r="I149" s="584" t="s">
        <v>138</v>
      </c>
      <c r="J149" s="585"/>
      <c r="K149" s="585"/>
      <c r="L149" s="585"/>
      <c r="M149" s="585"/>
      <c r="N149" s="585"/>
      <c r="O149" s="584" t="s">
        <v>139</v>
      </c>
      <c r="P149" s="585"/>
      <c r="Q149" s="585"/>
      <c r="R149" s="585"/>
      <c r="S149" s="585"/>
      <c r="T149" s="585"/>
      <c r="U149" s="584" t="s">
        <v>140</v>
      </c>
      <c r="V149" s="585"/>
      <c r="W149" s="585"/>
      <c r="X149" s="585"/>
      <c r="Y149" s="585"/>
      <c r="Z149" s="585"/>
      <c r="AA149" s="584" t="s">
        <v>141</v>
      </c>
      <c r="AB149" s="585"/>
      <c r="AC149" s="585"/>
      <c r="AD149" s="585"/>
      <c r="AE149" s="585"/>
      <c r="AF149" s="585"/>
      <c r="AG149" s="585"/>
      <c r="AH149" s="585"/>
      <c r="AI149" s="585"/>
      <c r="AJ149" s="585"/>
      <c r="AK149" s="584" t="s">
        <v>21</v>
      </c>
      <c r="AL149" s="585"/>
      <c r="AM149" s="585"/>
      <c r="AN149" s="584" t="s">
        <v>142</v>
      </c>
      <c r="AO149" s="585"/>
      <c r="AP149" s="585"/>
      <c r="AQ149" s="585"/>
      <c r="AR149" s="584" t="s">
        <v>143</v>
      </c>
      <c r="AS149" s="585"/>
      <c r="AT149" s="585"/>
      <c r="AU149" s="584" t="s">
        <v>23</v>
      </c>
      <c r="AV149" s="585"/>
      <c r="AW149" s="585"/>
    </row>
    <row r="150" spans="1:51" ht="15.5" thickBot="1">
      <c r="A150" s="577" t="s">
        <v>144</v>
      </c>
      <c r="B150" s="578"/>
      <c r="C150" s="578"/>
      <c r="D150" s="578"/>
      <c r="E150" s="577"/>
      <c r="F150" s="578"/>
      <c r="G150" s="578"/>
      <c r="H150" s="578"/>
      <c r="I150" s="577"/>
      <c r="J150" s="578"/>
      <c r="K150" s="578"/>
      <c r="L150" s="578"/>
      <c r="M150" s="578"/>
      <c r="N150" s="578"/>
      <c r="O150" s="577"/>
      <c r="P150" s="578"/>
      <c r="Q150" s="578"/>
      <c r="R150" s="578"/>
      <c r="S150" s="578"/>
      <c r="T150" s="578"/>
      <c r="U150" s="586" t="s">
        <v>145</v>
      </c>
      <c r="V150" s="587"/>
      <c r="W150" s="587"/>
      <c r="X150" s="587"/>
      <c r="Y150" s="587"/>
      <c r="Z150" s="587"/>
      <c r="AA150" s="577"/>
      <c r="AB150" s="578"/>
      <c r="AC150" s="578"/>
      <c r="AD150" s="578"/>
      <c r="AE150" s="578"/>
      <c r="AF150" s="578"/>
      <c r="AG150" s="578"/>
      <c r="AH150" s="578"/>
      <c r="AI150" s="578"/>
      <c r="AJ150" s="578"/>
      <c r="AK150" s="577"/>
      <c r="AL150" s="578"/>
      <c r="AM150" s="578"/>
      <c r="AN150" s="577" t="s">
        <v>146</v>
      </c>
      <c r="AO150" s="578"/>
      <c r="AP150" s="578"/>
      <c r="AQ150" s="578"/>
      <c r="AR150" s="577" t="s">
        <v>147</v>
      </c>
      <c r="AS150" s="578"/>
      <c r="AT150" s="578"/>
      <c r="AU150" s="577" t="s">
        <v>148</v>
      </c>
      <c r="AV150" s="578"/>
      <c r="AW150" s="578"/>
    </row>
    <row r="151" spans="1:51" ht="15">
      <c r="A151" s="461">
        <v>1</v>
      </c>
      <c r="B151" s="565"/>
      <c r="C151" s="565"/>
      <c r="D151" s="565"/>
      <c r="E151" s="461">
        <f>監視サービス登録書!C137</f>
        <v>1</v>
      </c>
      <c r="F151" s="565"/>
      <c r="G151" s="565"/>
      <c r="H151" s="565"/>
      <c r="I151" s="461">
        <f>監視サービス登録書!C134</f>
        <v>0</v>
      </c>
      <c r="J151" s="565"/>
      <c r="K151" s="565"/>
      <c r="L151" s="565"/>
      <c r="M151" s="565"/>
      <c r="N151" s="565"/>
      <c r="O151" s="461">
        <f>監視サービス登録書!C135</f>
        <v>0</v>
      </c>
      <c r="P151" s="565"/>
      <c r="Q151" s="565"/>
      <c r="R151" s="565"/>
      <c r="S151" s="565"/>
      <c r="T151" s="568"/>
      <c r="U151" s="579"/>
      <c r="V151" s="580"/>
      <c r="W151" s="581"/>
      <c r="X151" s="129" t="s">
        <v>149</v>
      </c>
      <c r="Y151" s="582"/>
      <c r="Z151" s="583"/>
      <c r="AA151" s="563"/>
      <c r="AB151" s="564"/>
      <c r="AC151" s="564"/>
      <c r="AD151" s="564"/>
      <c r="AE151" s="564"/>
      <c r="AF151" s="564"/>
      <c r="AG151" s="564"/>
      <c r="AH151" s="564"/>
      <c r="AI151" s="564"/>
      <c r="AJ151" s="564"/>
      <c r="AK151" s="461">
        <f>監視サービス登録書!C138</f>
        <v>0</v>
      </c>
      <c r="AL151" s="565"/>
      <c r="AM151" s="565"/>
      <c r="AN151" s="566">
        <f>監視サービス登録書!C$120*監視サービス登録書!D136/1000</f>
        <v>0</v>
      </c>
      <c r="AO151" s="567"/>
      <c r="AP151" s="567"/>
      <c r="AQ151" s="567"/>
      <c r="AR151" s="492" t="b">
        <f>IF(LEFT(I151,6)="PVS005","5.0",IF(LEFT(I151,6)="PVS9R9","9.9",IF(LEFT(I151,6)="PVS010","10.0",IF(LEFT(I151,6)="PVS012","12.4",IF(LEFT(I151,6)="PVS100","100.0")))))</f>
        <v>0</v>
      </c>
      <c r="AS151" s="495"/>
      <c r="AT151" s="493"/>
      <c r="AU151" s="492">
        <f>監視サービス登録書!C$133</f>
        <v>0</v>
      </c>
      <c r="AV151" s="495"/>
      <c r="AW151" s="493"/>
    </row>
    <row r="152" spans="1:51" ht="15">
      <c r="A152" s="461">
        <v>2</v>
      </c>
      <c r="B152" s="565"/>
      <c r="C152" s="565"/>
      <c r="D152" s="565"/>
      <c r="E152" s="461">
        <f>監視サービス登録書!C142</f>
        <v>0</v>
      </c>
      <c r="F152" s="565"/>
      <c r="G152" s="565"/>
      <c r="H152" s="565"/>
      <c r="I152" s="461">
        <f>監視サービス登録書!C139</f>
        <v>0</v>
      </c>
      <c r="J152" s="565"/>
      <c r="K152" s="565"/>
      <c r="L152" s="565"/>
      <c r="M152" s="565"/>
      <c r="N152" s="565"/>
      <c r="O152" s="461">
        <f>監視サービス登録書!C140</f>
        <v>0</v>
      </c>
      <c r="P152" s="565"/>
      <c r="Q152" s="565"/>
      <c r="R152" s="565"/>
      <c r="S152" s="565"/>
      <c r="T152" s="568"/>
      <c r="U152" s="572"/>
      <c r="V152" s="573"/>
      <c r="W152" s="574"/>
      <c r="X152" s="130" t="s">
        <v>149</v>
      </c>
      <c r="Y152" s="575"/>
      <c r="Z152" s="576"/>
      <c r="AA152" s="563"/>
      <c r="AB152" s="564"/>
      <c r="AC152" s="564"/>
      <c r="AD152" s="564"/>
      <c r="AE152" s="564"/>
      <c r="AF152" s="564"/>
      <c r="AG152" s="564"/>
      <c r="AH152" s="564"/>
      <c r="AI152" s="564"/>
      <c r="AJ152" s="564"/>
      <c r="AK152" s="461">
        <f>監視サービス登録書!C143</f>
        <v>0</v>
      </c>
      <c r="AL152" s="565"/>
      <c r="AM152" s="565"/>
      <c r="AN152" s="566">
        <f>監視サービス登録書!C$120*監視サービス登録書!D141/1000</f>
        <v>0</v>
      </c>
      <c r="AO152" s="567"/>
      <c r="AP152" s="567"/>
      <c r="AQ152" s="567"/>
      <c r="AR152" s="492" t="b">
        <f t="shared" ref="AR152:AR180" si="0">IF(LEFT(I152,6)="PVS005","5.0",IF(LEFT(I152,6)="PVS9R9","9.9",IF(LEFT(I152,6)="PVS010","10.0",IF(LEFT(I152,6)="PVS012","12.4",IF(LEFT(I152,6)="PVS100","100.0")))))</f>
        <v>0</v>
      </c>
      <c r="AS152" s="495"/>
      <c r="AT152" s="493"/>
      <c r="AU152" s="492">
        <f>監視サービス登録書!C$133</f>
        <v>0</v>
      </c>
      <c r="AV152" s="495"/>
      <c r="AW152" s="493"/>
    </row>
    <row r="153" spans="1:51" ht="15">
      <c r="A153" s="461">
        <v>3</v>
      </c>
      <c r="B153" s="565"/>
      <c r="C153" s="565"/>
      <c r="D153" s="565"/>
      <c r="E153" s="461">
        <f>監視サービス登録書!C147</f>
        <v>0</v>
      </c>
      <c r="F153" s="565"/>
      <c r="G153" s="565"/>
      <c r="H153" s="565"/>
      <c r="I153" s="461">
        <f>監視サービス登録書!C144</f>
        <v>0</v>
      </c>
      <c r="J153" s="565"/>
      <c r="K153" s="565"/>
      <c r="L153" s="565"/>
      <c r="M153" s="565"/>
      <c r="N153" s="565"/>
      <c r="O153" s="461">
        <f>監視サービス登録書!C145</f>
        <v>0</v>
      </c>
      <c r="P153" s="565"/>
      <c r="Q153" s="565"/>
      <c r="R153" s="565"/>
      <c r="S153" s="565"/>
      <c r="T153" s="568"/>
      <c r="U153" s="572"/>
      <c r="V153" s="573"/>
      <c r="W153" s="574"/>
      <c r="X153" s="130" t="s">
        <v>149</v>
      </c>
      <c r="Y153" s="575"/>
      <c r="Z153" s="576"/>
      <c r="AA153" s="563"/>
      <c r="AB153" s="564"/>
      <c r="AC153" s="564"/>
      <c r="AD153" s="564"/>
      <c r="AE153" s="564"/>
      <c r="AF153" s="564"/>
      <c r="AG153" s="564"/>
      <c r="AH153" s="564"/>
      <c r="AI153" s="564"/>
      <c r="AJ153" s="564"/>
      <c r="AK153" s="461">
        <f>監視サービス登録書!C148</f>
        <v>0</v>
      </c>
      <c r="AL153" s="565"/>
      <c r="AM153" s="565"/>
      <c r="AN153" s="566">
        <f>監視サービス登録書!C$120*監視サービス登録書!D146/1000</f>
        <v>0</v>
      </c>
      <c r="AO153" s="567"/>
      <c r="AP153" s="567"/>
      <c r="AQ153" s="567"/>
      <c r="AR153" s="492" t="b">
        <f t="shared" si="0"/>
        <v>0</v>
      </c>
      <c r="AS153" s="495"/>
      <c r="AT153" s="493"/>
      <c r="AU153" s="492">
        <f>監視サービス登録書!C$133</f>
        <v>0</v>
      </c>
      <c r="AV153" s="495"/>
      <c r="AW153" s="493"/>
    </row>
    <row r="154" spans="1:51" ht="15">
      <c r="A154" s="461">
        <v>4</v>
      </c>
      <c r="B154" s="565"/>
      <c r="C154" s="565"/>
      <c r="D154" s="565"/>
      <c r="E154" s="492">
        <f>監視サービス登録書!C152</f>
        <v>0</v>
      </c>
      <c r="F154" s="495"/>
      <c r="G154" s="495"/>
      <c r="H154" s="493"/>
      <c r="I154" s="461">
        <f>監視サービス登録書!C149</f>
        <v>0</v>
      </c>
      <c r="J154" s="565"/>
      <c r="K154" s="565"/>
      <c r="L154" s="565"/>
      <c r="M154" s="565"/>
      <c r="N154" s="565"/>
      <c r="O154" s="461">
        <f>監視サービス登録書!C150</f>
        <v>0</v>
      </c>
      <c r="P154" s="565"/>
      <c r="Q154" s="565"/>
      <c r="R154" s="565"/>
      <c r="S154" s="565"/>
      <c r="T154" s="568"/>
      <c r="U154" s="572"/>
      <c r="V154" s="573"/>
      <c r="W154" s="574"/>
      <c r="X154" s="130" t="s">
        <v>149</v>
      </c>
      <c r="Y154" s="575"/>
      <c r="Z154" s="576"/>
      <c r="AA154" s="563"/>
      <c r="AB154" s="564"/>
      <c r="AC154" s="564"/>
      <c r="AD154" s="564"/>
      <c r="AE154" s="564"/>
      <c r="AF154" s="564"/>
      <c r="AG154" s="564"/>
      <c r="AH154" s="564"/>
      <c r="AI154" s="564"/>
      <c r="AJ154" s="564"/>
      <c r="AK154" s="461">
        <f>監視サービス登録書!C153</f>
        <v>0</v>
      </c>
      <c r="AL154" s="565"/>
      <c r="AM154" s="565"/>
      <c r="AN154" s="566">
        <f>監視サービス登録書!C$120*監視サービス登録書!D151/1000</f>
        <v>0</v>
      </c>
      <c r="AO154" s="567"/>
      <c r="AP154" s="567"/>
      <c r="AQ154" s="567"/>
      <c r="AR154" s="492" t="b">
        <f t="shared" si="0"/>
        <v>0</v>
      </c>
      <c r="AS154" s="495"/>
      <c r="AT154" s="493"/>
      <c r="AU154" s="492">
        <f>監視サービス登録書!C$133</f>
        <v>0</v>
      </c>
      <c r="AV154" s="495"/>
      <c r="AW154" s="493"/>
    </row>
    <row r="155" spans="1:51" ht="15">
      <c r="A155" s="461">
        <v>5</v>
      </c>
      <c r="B155" s="565"/>
      <c r="C155" s="565"/>
      <c r="D155" s="565"/>
      <c r="E155" s="492">
        <f>監視サービス登録書!C157</f>
        <v>0</v>
      </c>
      <c r="F155" s="495"/>
      <c r="G155" s="495"/>
      <c r="H155" s="493"/>
      <c r="I155" s="461">
        <f>監視サービス登録書!C154</f>
        <v>0</v>
      </c>
      <c r="J155" s="565"/>
      <c r="K155" s="565"/>
      <c r="L155" s="565"/>
      <c r="M155" s="565"/>
      <c r="N155" s="565"/>
      <c r="O155" s="461">
        <f>監視サービス登録書!C155</f>
        <v>0</v>
      </c>
      <c r="P155" s="565"/>
      <c r="Q155" s="565"/>
      <c r="R155" s="565"/>
      <c r="S155" s="565"/>
      <c r="T155" s="568"/>
      <c r="U155" s="572"/>
      <c r="V155" s="573"/>
      <c r="W155" s="574"/>
      <c r="X155" s="130" t="s">
        <v>149</v>
      </c>
      <c r="Y155" s="575"/>
      <c r="Z155" s="576"/>
      <c r="AA155" s="563"/>
      <c r="AB155" s="564"/>
      <c r="AC155" s="564"/>
      <c r="AD155" s="564"/>
      <c r="AE155" s="564"/>
      <c r="AF155" s="564"/>
      <c r="AG155" s="564"/>
      <c r="AH155" s="564"/>
      <c r="AI155" s="564"/>
      <c r="AJ155" s="564"/>
      <c r="AK155" s="461">
        <f>監視サービス登録書!C158</f>
        <v>0</v>
      </c>
      <c r="AL155" s="565"/>
      <c r="AM155" s="565"/>
      <c r="AN155" s="566">
        <f>監視サービス登録書!C$120*監視サービス登録書!D156/1000</f>
        <v>0</v>
      </c>
      <c r="AO155" s="567"/>
      <c r="AP155" s="567"/>
      <c r="AQ155" s="567"/>
      <c r="AR155" s="492" t="b">
        <f t="shared" si="0"/>
        <v>0</v>
      </c>
      <c r="AS155" s="495"/>
      <c r="AT155" s="493"/>
      <c r="AU155" s="492">
        <f>監視サービス登録書!C$133</f>
        <v>0</v>
      </c>
      <c r="AV155" s="495"/>
      <c r="AW155" s="493"/>
    </row>
    <row r="156" spans="1:51" ht="15">
      <c r="A156" s="461">
        <v>6</v>
      </c>
      <c r="B156" s="565"/>
      <c r="C156" s="565"/>
      <c r="D156" s="565"/>
      <c r="E156" s="492">
        <f>監視サービス登録書!C162</f>
        <v>0</v>
      </c>
      <c r="F156" s="495"/>
      <c r="G156" s="495"/>
      <c r="H156" s="493"/>
      <c r="I156" s="461">
        <f>監視サービス登録書!C159</f>
        <v>0</v>
      </c>
      <c r="J156" s="565"/>
      <c r="K156" s="565"/>
      <c r="L156" s="565"/>
      <c r="M156" s="565"/>
      <c r="N156" s="565"/>
      <c r="O156" s="461">
        <f>監視サービス登録書!C160</f>
        <v>0</v>
      </c>
      <c r="P156" s="565"/>
      <c r="Q156" s="565"/>
      <c r="R156" s="565"/>
      <c r="S156" s="565"/>
      <c r="T156" s="568"/>
      <c r="U156" s="572"/>
      <c r="V156" s="573"/>
      <c r="W156" s="574"/>
      <c r="X156" s="130" t="s">
        <v>149</v>
      </c>
      <c r="Y156" s="575"/>
      <c r="Z156" s="576"/>
      <c r="AA156" s="563"/>
      <c r="AB156" s="564"/>
      <c r="AC156" s="564"/>
      <c r="AD156" s="564"/>
      <c r="AE156" s="564"/>
      <c r="AF156" s="564"/>
      <c r="AG156" s="564"/>
      <c r="AH156" s="564"/>
      <c r="AI156" s="564"/>
      <c r="AJ156" s="564"/>
      <c r="AK156" s="461">
        <f>監視サービス登録書!C163</f>
        <v>0</v>
      </c>
      <c r="AL156" s="565"/>
      <c r="AM156" s="565"/>
      <c r="AN156" s="566">
        <f>監視サービス登録書!C$120*監視サービス登録書!D161/1000</f>
        <v>0</v>
      </c>
      <c r="AO156" s="567"/>
      <c r="AP156" s="567"/>
      <c r="AQ156" s="567"/>
      <c r="AR156" s="492" t="b">
        <f t="shared" si="0"/>
        <v>0</v>
      </c>
      <c r="AS156" s="495"/>
      <c r="AT156" s="493"/>
      <c r="AU156" s="492">
        <f>監視サービス登録書!C$133</f>
        <v>0</v>
      </c>
      <c r="AV156" s="495"/>
      <c r="AW156" s="493"/>
    </row>
    <row r="157" spans="1:51" ht="15">
      <c r="A157" s="461">
        <v>7</v>
      </c>
      <c r="B157" s="565"/>
      <c r="C157" s="565"/>
      <c r="D157" s="565"/>
      <c r="E157" s="492">
        <f>監視サービス登録書!C167</f>
        <v>0</v>
      </c>
      <c r="F157" s="495"/>
      <c r="G157" s="495"/>
      <c r="H157" s="493"/>
      <c r="I157" s="461">
        <f>監視サービス登録書!C164</f>
        <v>0</v>
      </c>
      <c r="J157" s="565"/>
      <c r="K157" s="565"/>
      <c r="L157" s="565"/>
      <c r="M157" s="565"/>
      <c r="N157" s="565"/>
      <c r="O157" s="461">
        <f>監視サービス登録書!C165</f>
        <v>0</v>
      </c>
      <c r="P157" s="565"/>
      <c r="Q157" s="565"/>
      <c r="R157" s="565"/>
      <c r="S157" s="565"/>
      <c r="T157" s="568"/>
      <c r="U157" s="572"/>
      <c r="V157" s="573"/>
      <c r="W157" s="574"/>
      <c r="X157" s="130" t="s">
        <v>149</v>
      </c>
      <c r="Y157" s="575"/>
      <c r="Z157" s="576"/>
      <c r="AA157" s="563"/>
      <c r="AB157" s="564"/>
      <c r="AC157" s="564"/>
      <c r="AD157" s="564"/>
      <c r="AE157" s="564"/>
      <c r="AF157" s="564"/>
      <c r="AG157" s="564"/>
      <c r="AH157" s="564"/>
      <c r="AI157" s="564"/>
      <c r="AJ157" s="564"/>
      <c r="AK157" s="461">
        <f>監視サービス登録書!C168</f>
        <v>0</v>
      </c>
      <c r="AL157" s="565"/>
      <c r="AM157" s="565"/>
      <c r="AN157" s="566">
        <f>監視サービス登録書!C$120*監視サービス登録書!D166/1000</f>
        <v>0</v>
      </c>
      <c r="AO157" s="567"/>
      <c r="AP157" s="567"/>
      <c r="AQ157" s="567"/>
      <c r="AR157" s="492" t="b">
        <f t="shared" si="0"/>
        <v>0</v>
      </c>
      <c r="AS157" s="495"/>
      <c r="AT157" s="493"/>
      <c r="AU157" s="492">
        <f>監視サービス登録書!C$133</f>
        <v>0</v>
      </c>
      <c r="AV157" s="495"/>
      <c r="AW157" s="493"/>
    </row>
    <row r="158" spans="1:51" ht="15">
      <c r="A158" s="461">
        <v>8</v>
      </c>
      <c r="B158" s="565"/>
      <c r="C158" s="565"/>
      <c r="D158" s="565"/>
      <c r="E158" s="492">
        <f>監視サービス登録書!C172</f>
        <v>0</v>
      </c>
      <c r="F158" s="495"/>
      <c r="G158" s="495"/>
      <c r="H158" s="493"/>
      <c r="I158" s="461">
        <f>監視サービス登録書!C169</f>
        <v>0</v>
      </c>
      <c r="J158" s="565"/>
      <c r="K158" s="565"/>
      <c r="L158" s="565"/>
      <c r="M158" s="565"/>
      <c r="N158" s="565"/>
      <c r="O158" s="461">
        <f>監視サービス登録書!C170</f>
        <v>0</v>
      </c>
      <c r="P158" s="565"/>
      <c r="Q158" s="565"/>
      <c r="R158" s="565"/>
      <c r="S158" s="565"/>
      <c r="T158" s="568"/>
      <c r="U158" s="572"/>
      <c r="V158" s="573"/>
      <c r="W158" s="574"/>
      <c r="X158" s="130" t="s">
        <v>149</v>
      </c>
      <c r="Y158" s="575"/>
      <c r="Z158" s="576"/>
      <c r="AA158" s="563"/>
      <c r="AB158" s="564"/>
      <c r="AC158" s="564"/>
      <c r="AD158" s="564"/>
      <c r="AE158" s="564"/>
      <c r="AF158" s="564"/>
      <c r="AG158" s="564"/>
      <c r="AH158" s="564"/>
      <c r="AI158" s="564"/>
      <c r="AJ158" s="564"/>
      <c r="AK158" s="461">
        <f>監視サービス登録書!C173</f>
        <v>0</v>
      </c>
      <c r="AL158" s="565"/>
      <c r="AM158" s="565"/>
      <c r="AN158" s="566">
        <f>監視サービス登録書!C$120*監視サービス登録書!D171/1000</f>
        <v>0</v>
      </c>
      <c r="AO158" s="567"/>
      <c r="AP158" s="567"/>
      <c r="AQ158" s="567"/>
      <c r="AR158" s="492" t="b">
        <f t="shared" si="0"/>
        <v>0</v>
      </c>
      <c r="AS158" s="495"/>
      <c r="AT158" s="493"/>
      <c r="AU158" s="492">
        <f>監視サービス登録書!C$133</f>
        <v>0</v>
      </c>
      <c r="AV158" s="495"/>
      <c r="AW158" s="493"/>
    </row>
    <row r="159" spans="1:51" ht="15">
      <c r="A159" s="461">
        <v>9</v>
      </c>
      <c r="B159" s="565"/>
      <c r="C159" s="565"/>
      <c r="D159" s="565"/>
      <c r="E159" s="492">
        <f>監視サービス登録書!C177</f>
        <v>0</v>
      </c>
      <c r="F159" s="495"/>
      <c r="G159" s="495"/>
      <c r="H159" s="493"/>
      <c r="I159" s="461">
        <f>監視サービス登録書!C174</f>
        <v>0</v>
      </c>
      <c r="J159" s="565"/>
      <c r="K159" s="565"/>
      <c r="L159" s="565"/>
      <c r="M159" s="565"/>
      <c r="N159" s="565"/>
      <c r="O159" s="461">
        <f>監視サービス登録書!C175</f>
        <v>0</v>
      </c>
      <c r="P159" s="565"/>
      <c r="Q159" s="565"/>
      <c r="R159" s="565"/>
      <c r="S159" s="565"/>
      <c r="T159" s="568"/>
      <c r="U159" s="572"/>
      <c r="V159" s="573"/>
      <c r="W159" s="574"/>
      <c r="X159" s="130" t="s">
        <v>149</v>
      </c>
      <c r="Y159" s="575"/>
      <c r="Z159" s="576"/>
      <c r="AA159" s="563"/>
      <c r="AB159" s="564"/>
      <c r="AC159" s="564"/>
      <c r="AD159" s="564"/>
      <c r="AE159" s="564"/>
      <c r="AF159" s="564"/>
      <c r="AG159" s="564"/>
      <c r="AH159" s="564"/>
      <c r="AI159" s="564"/>
      <c r="AJ159" s="564"/>
      <c r="AK159" s="461">
        <f>監視サービス登録書!C178</f>
        <v>0</v>
      </c>
      <c r="AL159" s="565"/>
      <c r="AM159" s="565"/>
      <c r="AN159" s="566">
        <f>監視サービス登録書!C$120*監視サービス登録書!D176/1000</f>
        <v>0</v>
      </c>
      <c r="AO159" s="567"/>
      <c r="AP159" s="567"/>
      <c r="AQ159" s="567"/>
      <c r="AR159" s="492" t="b">
        <f t="shared" si="0"/>
        <v>0</v>
      </c>
      <c r="AS159" s="495"/>
      <c r="AT159" s="493"/>
      <c r="AU159" s="492">
        <f>監視サービス登録書!C$133</f>
        <v>0</v>
      </c>
      <c r="AV159" s="495"/>
      <c r="AW159" s="493"/>
    </row>
    <row r="160" spans="1:51" ht="15">
      <c r="A160" s="461">
        <v>10</v>
      </c>
      <c r="B160" s="565"/>
      <c r="C160" s="565"/>
      <c r="D160" s="565"/>
      <c r="E160" s="492">
        <f>監視サービス登録書!C182</f>
        <v>0</v>
      </c>
      <c r="F160" s="495"/>
      <c r="G160" s="495"/>
      <c r="H160" s="493"/>
      <c r="I160" s="461">
        <f>監視サービス登録書!C179</f>
        <v>0</v>
      </c>
      <c r="J160" s="565"/>
      <c r="K160" s="565"/>
      <c r="L160" s="565"/>
      <c r="M160" s="565"/>
      <c r="N160" s="565"/>
      <c r="O160" s="461">
        <f>監視サービス登録書!C180</f>
        <v>0</v>
      </c>
      <c r="P160" s="565"/>
      <c r="Q160" s="565"/>
      <c r="R160" s="565"/>
      <c r="S160" s="565"/>
      <c r="T160" s="568"/>
      <c r="U160" s="572"/>
      <c r="V160" s="573"/>
      <c r="W160" s="574"/>
      <c r="X160" s="130" t="s">
        <v>149</v>
      </c>
      <c r="Y160" s="575"/>
      <c r="Z160" s="576"/>
      <c r="AA160" s="563"/>
      <c r="AB160" s="564"/>
      <c r="AC160" s="564"/>
      <c r="AD160" s="564"/>
      <c r="AE160" s="564"/>
      <c r="AF160" s="564"/>
      <c r="AG160" s="564"/>
      <c r="AH160" s="564"/>
      <c r="AI160" s="564"/>
      <c r="AJ160" s="564"/>
      <c r="AK160" s="461">
        <f>監視サービス登録書!C183</f>
        <v>0</v>
      </c>
      <c r="AL160" s="565"/>
      <c r="AM160" s="565"/>
      <c r="AN160" s="566">
        <f>監視サービス登録書!C$120*監視サービス登録書!D181/1000</f>
        <v>0</v>
      </c>
      <c r="AO160" s="567"/>
      <c r="AP160" s="567"/>
      <c r="AQ160" s="567"/>
      <c r="AR160" s="492" t="b">
        <f t="shared" si="0"/>
        <v>0</v>
      </c>
      <c r="AS160" s="495"/>
      <c r="AT160" s="493"/>
      <c r="AU160" s="492">
        <f>監視サービス登録書!C$133</f>
        <v>0</v>
      </c>
      <c r="AV160" s="495"/>
      <c r="AW160" s="493"/>
    </row>
    <row r="161" spans="1:49" ht="15">
      <c r="A161" s="461">
        <v>11</v>
      </c>
      <c r="B161" s="565"/>
      <c r="C161" s="565"/>
      <c r="D161" s="565"/>
      <c r="E161" s="492">
        <f>監視サービス登録書!C187</f>
        <v>0</v>
      </c>
      <c r="F161" s="495"/>
      <c r="G161" s="495"/>
      <c r="H161" s="493"/>
      <c r="I161" s="461">
        <f>監視サービス登録書!C184</f>
        <v>0</v>
      </c>
      <c r="J161" s="565"/>
      <c r="K161" s="565"/>
      <c r="L161" s="565"/>
      <c r="M161" s="565"/>
      <c r="N161" s="565"/>
      <c r="O161" s="461">
        <f>監視サービス登録書!C185</f>
        <v>0</v>
      </c>
      <c r="P161" s="565"/>
      <c r="Q161" s="565"/>
      <c r="R161" s="565"/>
      <c r="S161" s="565"/>
      <c r="T161" s="568"/>
      <c r="U161" s="572"/>
      <c r="V161" s="573"/>
      <c r="W161" s="574"/>
      <c r="X161" s="130" t="s">
        <v>149</v>
      </c>
      <c r="Y161" s="575"/>
      <c r="Z161" s="576"/>
      <c r="AA161" s="563"/>
      <c r="AB161" s="564"/>
      <c r="AC161" s="564"/>
      <c r="AD161" s="564"/>
      <c r="AE161" s="564"/>
      <c r="AF161" s="564"/>
      <c r="AG161" s="564"/>
      <c r="AH161" s="564"/>
      <c r="AI161" s="564"/>
      <c r="AJ161" s="564"/>
      <c r="AK161" s="461">
        <f>監視サービス登録書!C188</f>
        <v>0</v>
      </c>
      <c r="AL161" s="565"/>
      <c r="AM161" s="565"/>
      <c r="AN161" s="566">
        <f>監視サービス登録書!C$120*監視サービス登録書!D186/1000</f>
        <v>0</v>
      </c>
      <c r="AO161" s="567"/>
      <c r="AP161" s="567"/>
      <c r="AQ161" s="567"/>
      <c r="AR161" s="492" t="b">
        <f t="shared" si="0"/>
        <v>0</v>
      </c>
      <c r="AS161" s="495"/>
      <c r="AT161" s="493"/>
      <c r="AU161" s="492">
        <f>監視サービス登録書!C$133</f>
        <v>0</v>
      </c>
      <c r="AV161" s="495"/>
      <c r="AW161" s="493"/>
    </row>
    <row r="162" spans="1:49" ht="15">
      <c r="A162" s="461">
        <v>12</v>
      </c>
      <c r="B162" s="565"/>
      <c r="C162" s="565"/>
      <c r="D162" s="565"/>
      <c r="E162" s="492">
        <f>監視サービス登録書!C192</f>
        <v>0</v>
      </c>
      <c r="F162" s="495"/>
      <c r="G162" s="495"/>
      <c r="H162" s="493"/>
      <c r="I162" s="461">
        <f>監視サービス登録書!C189</f>
        <v>0</v>
      </c>
      <c r="J162" s="565"/>
      <c r="K162" s="565"/>
      <c r="L162" s="565"/>
      <c r="M162" s="565"/>
      <c r="N162" s="565"/>
      <c r="O162" s="461">
        <f>監視サービス登録書!C190</f>
        <v>0</v>
      </c>
      <c r="P162" s="565"/>
      <c r="Q162" s="565"/>
      <c r="R162" s="565"/>
      <c r="S162" s="565"/>
      <c r="T162" s="568"/>
      <c r="U162" s="572"/>
      <c r="V162" s="573"/>
      <c r="W162" s="574"/>
      <c r="X162" s="130" t="s">
        <v>149</v>
      </c>
      <c r="Y162" s="575"/>
      <c r="Z162" s="576"/>
      <c r="AA162" s="563"/>
      <c r="AB162" s="564"/>
      <c r="AC162" s="564"/>
      <c r="AD162" s="564"/>
      <c r="AE162" s="564"/>
      <c r="AF162" s="564"/>
      <c r="AG162" s="564"/>
      <c r="AH162" s="564"/>
      <c r="AI162" s="564"/>
      <c r="AJ162" s="564"/>
      <c r="AK162" s="461">
        <f>監視サービス登録書!C193</f>
        <v>0</v>
      </c>
      <c r="AL162" s="565"/>
      <c r="AM162" s="565"/>
      <c r="AN162" s="566">
        <f>監視サービス登録書!C$120*監視サービス登録書!D191/1000</f>
        <v>0</v>
      </c>
      <c r="AO162" s="567"/>
      <c r="AP162" s="567"/>
      <c r="AQ162" s="567"/>
      <c r="AR162" s="492" t="b">
        <f t="shared" si="0"/>
        <v>0</v>
      </c>
      <c r="AS162" s="495"/>
      <c r="AT162" s="493"/>
      <c r="AU162" s="492">
        <f>監視サービス登録書!C$133</f>
        <v>0</v>
      </c>
      <c r="AV162" s="495"/>
      <c r="AW162" s="493"/>
    </row>
    <row r="163" spans="1:49" ht="15">
      <c r="A163" s="461">
        <v>13</v>
      </c>
      <c r="B163" s="565"/>
      <c r="C163" s="565"/>
      <c r="D163" s="565"/>
      <c r="E163" s="492">
        <f>監視サービス登録書!C197</f>
        <v>0</v>
      </c>
      <c r="F163" s="495"/>
      <c r="G163" s="495"/>
      <c r="H163" s="493"/>
      <c r="I163" s="461">
        <f>監視サービス登録書!C194</f>
        <v>0</v>
      </c>
      <c r="J163" s="565"/>
      <c r="K163" s="565"/>
      <c r="L163" s="565"/>
      <c r="M163" s="565"/>
      <c r="N163" s="565"/>
      <c r="O163" s="461">
        <f>監視サービス登録書!C195</f>
        <v>0</v>
      </c>
      <c r="P163" s="565"/>
      <c r="Q163" s="565"/>
      <c r="R163" s="565"/>
      <c r="S163" s="565"/>
      <c r="T163" s="568"/>
      <c r="U163" s="572"/>
      <c r="V163" s="573"/>
      <c r="W163" s="574"/>
      <c r="X163" s="130" t="s">
        <v>149</v>
      </c>
      <c r="Y163" s="575"/>
      <c r="Z163" s="576"/>
      <c r="AA163" s="563"/>
      <c r="AB163" s="564"/>
      <c r="AC163" s="564"/>
      <c r="AD163" s="564"/>
      <c r="AE163" s="564"/>
      <c r="AF163" s="564"/>
      <c r="AG163" s="564"/>
      <c r="AH163" s="564"/>
      <c r="AI163" s="564"/>
      <c r="AJ163" s="564"/>
      <c r="AK163" s="461">
        <f>監視サービス登録書!C198</f>
        <v>0</v>
      </c>
      <c r="AL163" s="565"/>
      <c r="AM163" s="565"/>
      <c r="AN163" s="566">
        <f>監視サービス登録書!C$120*監視サービス登録書!D196/1000</f>
        <v>0</v>
      </c>
      <c r="AO163" s="567"/>
      <c r="AP163" s="567"/>
      <c r="AQ163" s="567"/>
      <c r="AR163" s="492" t="b">
        <f t="shared" si="0"/>
        <v>0</v>
      </c>
      <c r="AS163" s="495"/>
      <c r="AT163" s="493"/>
      <c r="AU163" s="492">
        <f>監視サービス登録書!C$133</f>
        <v>0</v>
      </c>
      <c r="AV163" s="495"/>
      <c r="AW163" s="493"/>
    </row>
    <row r="164" spans="1:49" ht="15">
      <c r="A164" s="461">
        <v>14</v>
      </c>
      <c r="B164" s="565"/>
      <c r="C164" s="565"/>
      <c r="D164" s="565"/>
      <c r="E164" s="492">
        <f>監視サービス登録書!C202</f>
        <v>0</v>
      </c>
      <c r="F164" s="495"/>
      <c r="G164" s="495"/>
      <c r="H164" s="493"/>
      <c r="I164" s="461">
        <f>監視サービス登録書!C199</f>
        <v>0</v>
      </c>
      <c r="J164" s="565"/>
      <c r="K164" s="565"/>
      <c r="L164" s="565"/>
      <c r="M164" s="565"/>
      <c r="N164" s="565"/>
      <c r="O164" s="461">
        <f>監視サービス登録書!C200</f>
        <v>0</v>
      </c>
      <c r="P164" s="565"/>
      <c r="Q164" s="565"/>
      <c r="R164" s="565"/>
      <c r="S164" s="565"/>
      <c r="T164" s="568"/>
      <c r="U164" s="572"/>
      <c r="V164" s="573"/>
      <c r="W164" s="574"/>
      <c r="X164" s="130" t="s">
        <v>149</v>
      </c>
      <c r="Y164" s="575"/>
      <c r="Z164" s="576"/>
      <c r="AA164" s="563"/>
      <c r="AB164" s="564"/>
      <c r="AC164" s="564"/>
      <c r="AD164" s="564"/>
      <c r="AE164" s="564"/>
      <c r="AF164" s="564"/>
      <c r="AG164" s="564"/>
      <c r="AH164" s="564"/>
      <c r="AI164" s="564"/>
      <c r="AJ164" s="564"/>
      <c r="AK164" s="461">
        <f>監視サービス登録書!C203</f>
        <v>0</v>
      </c>
      <c r="AL164" s="565"/>
      <c r="AM164" s="565"/>
      <c r="AN164" s="566">
        <f>監視サービス登録書!C$120*監視サービス登録書!D201/1000</f>
        <v>0</v>
      </c>
      <c r="AO164" s="567"/>
      <c r="AP164" s="567"/>
      <c r="AQ164" s="567"/>
      <c r="AR164" s="492" t="b">
        <f t="shared" si="0"/>
        <v>0</v>
      </c>
      <c r="AS164" s="495"/>
      <c r="AT164" s="493"/>
      <c r="AU164" s="492">
        <f>監視サービス登録書!C$133</f>
        <v>0</v>
      </c>
      <c r="AV164" s="495"/>
      <c r="AW164" s="493"/>
    </row>
    <row r="165" spans="1:49" ht="15">
      <c r="A165" s="461">
        <v>15</v>
      </c>
      <c r="B165" s="565"/>
      <c r="C165" s="565"/>
      <c r="D165" s="565"/>
      <c r="E165" s="492">
        <f>監視サービス登録書!C207</f>
        <v>0</v>
      </c>
      <c r="F165" s="495"/>
      <c r="G165" s="495"/>
      <c r="H165" s="493"/>
      <c r="I165" s="461">
        <f>監視サービス登録書!C204</f>
        <v>0</v>
      </c>
      <c r="J165" s="565"/>
      <c r="K165" s="565"/>
      <c r="L165" s="565"/>
      <c r="M165" s="565"/>
      <c r="N165" s="565"/>
      <c r="O165" s="461">
        <f>監視サービス登録書!C205</f>
        <v>0</v>
      </c>
      <c r="P165" s="565"/>
      <c r="Q165" s="565"/>
      <c r="R165" s="565"/>
      <c r="S165" s="565"/>
      <c r="T165" s="568"/>
      <c r="U165" s="572"/>
      <c r="V165" s="573"/>
      <c r="W165" s="574"/>
      <c r="X165" s="130" t="s">
        <v>149</v>
      </c>
      <c r="Y165" s="575"/>
      <c r="Z165" s="576"/>
      <c r="AA165" s="563"/>
      <c r="AB165" s="564"/>
      <c r="AC165" s="564"/>
      <c r="AD165" s="564"/>
      <c r="AE165" s="564"/>
      <c r="AF165" s="564"/>
      <c r="AG165" s="564"/>
      <c r="AH165" s="564"/>
      <c r="AI165" s="564"/>
      <c r="AJ165" s="564"/>
      <c r="AK165" s="461">
        <f>監視サービス登録書!C208</f>
        <v>0</v>
      </c>
      <c r="AL165" s="565"/>
      <c r="AM165" s="565"/>
      <c r="AN165" s="566">
        <f>監視サービス登録書!C$120*監視サービス登録書!D206/1000</f>
        <v>0</v>
      </c>
      <c r="AO165" s="567"/>
      <c r="AP165" s="567"/>
      <c r="AQ165" s="567"/>
      <c r="AR165" s="492" t="b">
        <f t="shared" si="0"/>
        <v>0</v>
      </c>
      <c r="AS165" s="495"/>
      <c r="AT165" s="493"/>
      <c r="AU165" s="492">
        <f>監視サービス登録書!C$133</f>
        <v>0</v>
      </c>
      <c r="AV165" s="495"/>
      <c r="AW165" s="493"/>
    </row>
    <row r="166" spans="1:49" ht="15">
      <c r="A166" s="461">
        <v>16</v>
      </c>
      <c r="B166" s="565"/>
      <c r="C166" s="565"/>
      <c r="D166" s="565"/>
      <c r="E166" s="492">
        <f>監視サービス登録書!C212</f>
        <v>0</v>
      </c>
      <c r="F166" s="495"/>
      <c r="G166" s="495"/>
      <c r="H166" s="493"/>
      <c r="I166" s="461">
        <f>監視サービス登録書!C209</f>
        <v>0</v>
      </c>
      <c r="J166" s="565"/>
      <c r="K166" s="565"/>
      <c r="L166" s="565"/>
      <c r="M166" s="565"/>
      <c r="N166" s="565"/>
      <c r="O166" s="461">
        <f>監視サービス登録書!C210</f>
        <v>0</v>
      </c>
      <c r="P166" s="565"/>
      <c r="Q166" s="565"/>
      <c r="R166" s="565"/>
      <c r="S166" s="565"/>
      <c r="T166" s="568"/>
      <c r="U166" s="572"/>
      <c r="V166" s="573"/>
      <c r="W166" s="574"/>
      <c r="X166" s="130" t="s">
        <v>149</v>
      </c>
      <c r="Y166" s="575"/>
      <c r="Z166" s="576"/>
      <c r="AA166" s="563"/>
      <c r="AB166" s="564"/>
      <c r="AC166" s="564"/>
      <c r="AD166" s="564"/>
      <c r="AE166" s="564"/>
      <c r="AF166" s="564"/>
      <c r="AG166" s="564"/>
      <c r="AH166" s="564"/>
      <c r="AI166" s="564"/>
      <c r="AJ166" s="564"/>
      <c r="AK166" s="461">
        <f>監視サービス登録書!C213</f>
        <v>0</v>
      </c>
      <c r="AL166" s="565"/>
      <c r="AM166" s="565"/>
      <c r="AN166" s="566">
        <f>監視サービス登録書!C$120*監視サービス登録書!D211/1000</f>
        <v>0</v>
      </c>
      <c r="AO166" s="567"/>
      <c r="AP166" s="567"/>
      <c r="AQ166" s="567"/>
      <c r="AR166" s="492" t="b">
        <f t="shared" si="0"/>
        <v>0</v>
      </c>
      <c r="AS166" s="495"/>
      <c r="AT166" s="493"/>
      <c r="AU166" s="492">
        <f>監視サービス登録書!C$133</f>
        <v>0</v>
      </c>
      <c r="AV166" s="495"/>
      <c r="AW166" s="493"/>
    </row>
    <row r="167" spans="1:49" ht="15">
      <c r="A167" s="461">
        <v>17</v>
      </c>
      <c r="B167" s="565"/>
      <c r="C167" s="565"/>
      <c r="D167" s="565"/>
      <c r="E167" s="492">
        <f>監視サービス登録書!C217</f>
        <v>0</v>
      </c>
      <c r="F167" s="495"/>
      <c r="G167" s="495"/>
      <c r="H167" s="493"/>
      <c r="I167" s="461">
        <f>監視サービス登録書!C214</f>
        <v>0</v>
      </c>
      <c r="J167" s="565"/>
      <c r="K167" s="565"/>
      <c r="L167" s="565"/>
      <c r="M167" s="565"/>
      <c r="N167" s="565"/>
      <c r="O167" s="461">
        <f>監視サービス登録書!C215</f>
        <v>0</v>
      </c>
      <c r="P167" s="565"/>
      <c r="Q167" s="565"/>
      <c r="R167" s="565"/>
      <c r="S167" s="565"/>
      <c r="T167" s="568"/>
      <c r="U167" s="572"/>
      <c r="V167" s="573"/>
      <c r="W167" s="574"/>
      <c r="X167" s="130" t="s">
        <v>149</v>
      </c>
      <c r="Y167" s="575"/>
      <c r="Z167" s="576"/>
      <c r="AA167" s="563"/>
      <c r="AB167" s="564"/>
      <c r="AC167" s="564"/>
      <c r="AD167" s="564"/>
      <c r="AE167" s="564"/>
      <c r="AF167" s="564"/>
      <c r="AG167" s="564"/>
      <c r="AH167" s="564"/>
      <c r="AI167" s="564"/>
      <c r="AJ167" s="564"/>
      <c r="AK167" s="461">
        <f>監視サービス登録書!C218</f>
        <v>0</v>
      </c>
      <c r="AL167" s="565"/>
      <c r="AM167" s="565"/>
      <c r="AN167" s="566">
        <f>監視サービス登録書!C$120*監視サービス登録書!D216/1000</f>
        <v>0</v>
      </c>
      <c r="AO167" s="567"/>
      <c r="AP167" s="567"/>
      <c r="AQ167" s="567"/>
      <c r="AR167" s="492" t="b">
        <f t="shared" si="0"/>
        <v>0</v>
      </c>
      <c r="AS167" s="495"/>
      <c r="AT167" s="493"/>
      <c r="AU167" s="492">
        <f>監視サービス登録書!C$133</f>
        <v>0</v>
      </c>
      <c r="AV167" s="495"/>
      <c r="AW167" s="493"/>
    </row>
    <row r="168" spans="1:49" ht="15">
      <c r="A168" s="461">
        <v>18</v>
      </c>
      <c r="B168" s="565"/>
      <c r="C168" s="565"/>
      <c r="D168" s="565"/>
      <c r="E168" s="492">
        <f>監視サービス登録書!C222</f>
        <v>0</v>
      </c>
      <c r="F168" s="495"/>
      <c r="G168" s="495"/>
      <c r="H168" s="493"/>
      <c r="I168" s="461">
        <f>監視サービス登録書!C219</f>
        <v>0</v>
      </c>
      <c r="J168" s="565"/>
      <c r="K168" s="565"/>
      <c r="L168" s="565"/>
      <c r="M168" s="565"/>
      <c r="N168" s="565"/>
      <c r="O168" s="461">
        <f>監視サービス登録書!C220</f>
        <v>0</v>
      </c>
      <c r="P168" s="565"/>
      <c r="Q168" s="565"/>
      <c r="R168" s="565"/>
      <c r="S168" s="565"/>
      <c r="T168" s="568"/>
      <c r="U168" s="572"/>
      <c r="V168" s="573"/>
      <c r="W168" s="574"/>
      <c r="X168" s="130" t="s">
        <v>149</v>
      </c>
      <c r="Y168" s="575"/>
      <c r="Z168" s="576"/>
      <c r="AA168" s="563"/>
      <c r="AB168" s="564"/>
      <c r="AC168" s="564"/>
      <c r="AD168" s="564"/>
      <c r="AE168" s="564"/>
      <c r="AF168" s="564"/>
      <c r="AG168" s="564"/>
      <c r="AH168" s="564"/>
      <c r="AI168" s="564"/>
      <c r="AJ168" s="564"/>
      <c r="AK168" s="461">
        <f>監視サービス登録書!C223</f>
        <v>0</v>
      </c>
      <c r="AL168" s="565"/>
      <c r="AM168" s="565"/>
      <c r="AN168" s="566">
        <f>監視サービス登録書!C$120*監視サービス登録書!D221/1000</f>
        <v>0</v>
      </c>
      <c r="AO168" s="567"/>
      <c r="AP168" s="567"/>
      <c r="AQ168" s="567"/>
      <c r="AR168" s="492" t="b">
        <f t="shared" si="0"/>
        <v>0</v>
      </c>
      <c r="AS168" s="495"/>
      <c r="AT168" s="493"/>
      <c r="AU168" s="492">
        <f>監視サービス登録書!C$133</f>
        <v>0</v>
      </c>
      <c r="AV168" s="495"/>
      <c r="AW168" s="493"/>
    </row>
    <row r="169" spans="1:49" ht="15">
      <c r="A169" s="461">
        <v>19</v>
      </c>
      <c r="B169" s="565"/>
      <c r="C169" s="565"/>
      <c r="D169" s="565"/>
      <c r="E169" s="492">
        <f>監視サービス登録書!C227</f>
        <v>0</v>
      </c>
      <c r="F169" s="495"/>
      <c r="G169" s="495"/>
      <c r="H169" s="493"/>
      <c r="I169" s="461">
        <f>監視サービス登録書!C224</f>
        <v>0</v>
      </c>
      <c r="J169" s="565"/>
      <c r="K169" s="565"/>
      <c r="L169" s="565"/>
      <c r="M169" s="565"/>
      <c r="N169" s="565"/>
      <c r="O169" s="461">
        <f>監視サービス登録書!C225</f>
        <v>0</v>
      </c>
      <c r="P169" s="565"/>
      <c r="Q169" s="565"/>
      <c r="R169" s="565"/>
      <c r="S169" s="565"/>
      <c r="T169" s="568"/>
      <c r="U169" s="572"/>
      <c r="V169" s="573"/>
      <c r="W169" s="574"/>
      <c r="X169" s="130" t="s">
        <v>149</v>
      </c>
      <c r="Y169" s="575"/>
      <c r="Z169" s="576"/>
      <c r="AA169" s="563"/>
      <c r="AB169" s="564"/>
      <c r="AC169" s="564"/>
      <c r="AD169" s="564"/>
      <c r="AE169" s="564"/>
      <c r="AF169" s="564"/>
      <c r="AG169" s="564"/>
      <c r="AH169" s="564"/>
      <c r="AI169" s="564"/>
      <c r="AJ169" s="564"/>
      <c r="AK169" s="461">
        <f>監視サービス登録書!C228</f>
        <v>0</v>
      </c>
      <c r="AL169" s="565"/>
      <c r="AM169" s="565"/>
      <c r="AN169" s="566">
        <f>監視サービス登録書!C$120*監視サービス登録書!D226/1000</f>
        <v>0</v>
      </c>
      <c r="AO169" s="567"/>
      <c r="AP169" s="567"/>
      <c r="AQ169" s="567"/>
      <c r="AR169" s="492" t="b">
        <f t="shared" si="0"/>
        <v>0</v>
      </c>
      <c r="AS169" s="495"/>
      <c r="AT169" s="493"/>
      <c r="AU169" s="492">
        <f>監視サービス登録書!C$133</f>
        <v>0</v>
      </c>
      <c r="AV169" s="495"/>
      <c r="AW169" s="493"/>
    </row>
    <row r="170" spans="1:49" ht="15">
      <c r="A170" s="461">
        <v>20</v>
      </c>
      <c r="B170" s="565"/>
      <c r="C170" s="565"/>
      <c r="D170" s="565"/>
      <c r="E170" s="492">
        <f>監視サービス登録書!C232</f>
        <v>0</v>
      </c>
      <c r="F170" s="495"/>
      <c r="G170" s="495"/>
      <c r="H170" s="493"/>
      <c r="I170" s="461">
        <f>監視サービス登録書!C229</f>
        <v>0</v>
      </c>
      <c r="J170" s="565"/>
      <c r="K170" s="565"/>
      <c r="L170" s="565"/>
      <c r="M170" s="565"/>
      <c r="N170" s="565"/>
      <c r="O170" s="461">
        <f>監視サービス登録書!C230</f>
        <v>0</v>
      </c>
      <c r="P170" s="565"/>
      <c r="Q170" s="565"/>
      <c r="R170" s="565"/>
      <c r="S170" s="565"/>
      <c r="T170" s="568"/>
      <c r="U170" s="572"/>
      <c r="V170" s="573"/>
      <c r="W170" s="574"/>
      <c r="X170" s="130" t="s">
        <v>149</v>
      </c>
      <c r="Y170" s="575"/>
      <c r="Z170" s="576"/>
      <c r="AA170" s="563"/>
      <c r="AB170" s="564"/>
      <c r="AC170" s="564"/>
      <c r="AD170" s="564"/>
      <c r="AE170" s="564"/>
      <c r="AF170" s="564"/>
      <c r="AG170" s="564"/>
      <c r="AH170" s="564"/>
      <c r="AI170" s="564"/>
      <c r="AJ170" s="564"/>
      <c r="AK170" s="461">
        <f>監視サービス登録書!C233</f>
        <v>0</v>
      </c>
      <c r="AL170" s="565"/>
      <c r="AM170" s="565"/>
      <c r="AN170" s="566">
        <f>監視サービス登録書!C$120*監視サービス登録書!D231/1000</f>
        <v>0</v>
      </c>
      <c r="AO170" s="567"/>
      <c r="AP170" s="567"/>
      <c r="AQ170" s="567"/>
      <c r="AR170" s="492" t="b">
        <f t="shared" si="0"/>
        <v>0</v>
      </c>
      <c r="AS170" s="495"/>
      <c r="AT170" s="493"/>
      <c r="AU170" s="492">
        <f>監視サービス登録書!C$133</f>
        <v>0</v>
      </c>
      <c r="AV170" s="495"/>
      <c r="AW170" s="493"/>
    </row>
    <row r="171" spans="1:49" ht="15">
      <c r="A171" s="461">
        <v>21</v>
      </c>
      <c r="B171" s="565"/>
      <c r="C171" s="565"/>
      <c r="D171" s="565"/>
      <c r="E171" s="492">
        <f>監視サービス登録書!C237</f>
        <v>0</v>
      </c>
      <c r="F171" s="495"/>
      <c r="G171" s="495"/>
      <c r="H171" s="493"/>
      <c r="I171" s="461">
        <f>監視サービス登録書!C234</f>
        <v>0</v>
      </c>
      <c r="J171" s="565"/>
      <c r="K171" s="565"/>
      <c r="L171" s="565"/>
      <c r="M171" s="565"/>
      <c r="N171" s="565"/>
      <c r="O171" s="461">
        <f>監視サービス登録書!C235</f>
        <v>0</v>
      </c>
      <c r="P171" s="565"/>
      <c r="Q171" s="565"/>
      <c r="R171" s="565"/>
      <c r="S171" s="565"/>
      <c r="T171" s="568"/>
      <c r="U171" s="572"/>
      <c r="V171" s="573"/>
      <c r="W171" s="574"/>
      <c r="X171" s="130" t="s">
        <v>149</v>
      </c>
      <c r="Y171" s="575"/>
      <c r="Z171" s="576"/>
      <c r="AA171" s="563"/>
      <c r="AB171" s="564"/>
      <c r="AC171" s="564"/>
      <c r="AD171" s="564"/>
      <c r="AE171" s="564"/>
      <c r="AF171" s="564"/>
      <c r="AG171" s="564"/>
      <c r="AH171" s="564"/>
      <c r="AI171" s="564"/>
      <c r="AJ171" s="564"/>
      <c r="AK171" s="461">
        <f>監視サービス登録書!C238</f>
        <v>0</v>
      </c>
      <c r="AL171" s="565"/>
      <c r="AM171" s="565"/>
      <c r="AN171" s="566">
        <f>監視サービス登録書!C$120*監視サービス登録書!D236/1000</f>
        <v>0</v>
      </c>
      <c r="AO171" s="567"/>
      <c r="AP171" s="567"/>
      <c r="AQ171" s="567"/>
      <c r="AR171" s="492" t="b">
        <f t="shared" si="0"/>
        <v>0</v>
      </c>
      <c r="AS171" s="495"/>
      <c r="AT171" s="493"/>
      <c r="AU171" s="492">
        <f>監視サービス登録書!C$133</f>
        <v>0</v>
      </c>
      <c r="AV171" s="495"/>
      <c r="AW171" s="493"/>
    </row>
    <row r="172" spans="1:49" ht="15">
      <c r="A172" s="461">
        <v>22</v>
      </c>
      <c r="B172" s="565"/>
      <c r="C172" s="565"/>
      <c r="D172" s="565"/>
      <c r="E172" s="492">
        <f>監視サービス登録書!C242</f>
        <v>0</v>
      </c>
      <c r="F172" s="495"/>
      <c r="G172" s="495"/>
      <c r="H172" s="493"/>
      <c r="I172" s="461">
        <f>監視サービス登録書!C239</f>
        <v>0</v>
      </c>
      <c r="J172" s="565"/>
      <c r="K172" s="565"/>
      <c r="L172" s="565"/>
      <c r="M172" s="565"/>
      <c r="N172" s="565"/>
      <c r="O172" s="461">
        <f>監視サービス登録書!C240</f>
        <v>0</v>
      </c>
      <c r="P172" s="565"/>
      <c r="Q172" s="565"/>
      <c r="R172" s="565"/>
      <c r="S172" s="565"/>
      <c r="T172" s="568"/>
      <c r="U172" s="572"/>
      <c r="V172" s="573"/>
      <c r="W172" s="574"/>
      <c r="X172" s="130" t="s">
        <v>149</v>
      </c>
      <c r="Y172" s="575"/>
      <c r="Z172" s="576"/>
      <c r="AA172" s="563"/>
      <c r="AB172" s="564"/>
      <c r="AC172" s="564"/>
      <c r="AD172" s="564"/>
      <c r="AE172" s="564"/>
      <c r="AF172" s="564"/>
      <c r="AG172" s="564"/>
      <c r="AH172" s="564"/>
      <c r="AI172" s="564"/>
      <c r="AJ172" s="564"/>
      <c r="AK172" s="461">
        <f>監視サービス登録書!C243</f>
        <v>0</v>
      </c>
      <c r="AL172" s="565"/>
      <c r="AM172" s="565"/>
      <c r="AN172" s="566">
        <f>監視サービス登録書!C$120*監視サービス登録書!D241/1000</f>
        <v>0</v>
      </c>
      <c r="AO172" s="567"/>
      <c r="AP172" s="567"/>
      <c r="AQ172" s="567"/>
      <c r="AR172" s="492" t="b">
        <f t="shared" si="0"/>
        <v>0</v>
      </c>
      <c r="AS172" s="495"/>
      <c r="AT172" s="493"/>
      <c r="AU172" s="492">
        <f>監視サービス登録書!C$133</f>
        <v>0</v>
      </c>
      <c r="AV172" s="495"/>
      <c r="AW172" s="493"/>
    </row>
    <row r="173" spans="1:49" ht="15">
      <c r="A173" s="461">
        <v>23</v>
      </c>
      <c r="B173" s="565"/>
      <c r="C173" s="565"/>
      <c r="D173" s="565"/>
      <c r="E173" s="492">
        <f>監視サービス登録書!C247</f>
        <v>0</v>
      </c>
      <c r="F173" s="495"/>
      <c r="G173" s="495"/>
      <c r="H173" s="493"/>
      <c r="I173" s="461">
        <f>監視サービス登録書!C244</f>
        <v>0</v>
      </c>
      <c r="J173" s="565"/>
      <c r="K173" s="565"/>
      <c r="L173" s="565"/>
      <c r="M173" s="565"/>
      <c r="N173" s="565"/>
      <c r="O173" s="461">
        <f>監視サービス登録書!C245</f>
        <v>0</v>
      </c>
      <c r="P173" s="565"/>
      <c r="Q173" s="565"/>
      <c r="R173" s="565"/>
      <c r="S173" s="565"/>
      <c r="T173" s="568"/>
      <c r="U173" s="572"/>
      <c r="V173" s="573"/>
      <c r="W173" s="574"/>
      <c r="X173" s="130" t="s">
        <v>149</v>
      </c>
      <c r="Y173" s="575"/>
      <c r="Z173" s="576"/>
      <c r="AA173" s="563"/>
      <c r="AB173" s="564"/>
      <c r="AC173" s="564"/>
      <c r="AD173" s="564"/>
      <c r="AE173" s="564"/>
      <c r="AF173" s="564"/>
      <c r="AG173" s="564"/>
      <c r="AH173" s="564"/>
      <c r="AI173" s="564"/>
      <c r="AJ173" s="564"/>
      <c r="AK173" s="461">
        <f>監視サービス登録書!C248</f>
        <v>0</v>
      </c>
      <c r="AL173" s="565"/>
      <c r="AM173" s="565"/>
      <c r="AN173" s="566">
        <f>監視サービス登録書!C$120*監視サービス登録書!D246/1000</f>
        <v>0</v>
      </c>
      <c r="AO173" s="567"/>
      <c r="AP173" s="567"/>
      <c r="AQ173" s="567"/>
      <c r="AR173" s="492" t="b">
        <f t="shared" si="0"/>
        <v>0</v>
      </c>
      <c r="AS173" s="495"/>
      <c r="AT173" s="493"/>
      <c r="AU173" s="492">
        <f>監視サービス登録書!C$133</f>
        <v>0</v>
      </c>
      <c r="AV173" s="495"/>
      <c r="AW173" s="493"/>
    </row>
    <row r="174" spans="1:49" ht="15">
      <c r="A174" s="461">
        <v>24</v>
      </c>
      <c r="B174" s="565"/>
      <c r="C174" s="565"/>
      <c r="D174" s="565"/>
      <c r="E174" s="492">
        <f>監視サービス登録書!C252</f>
        <v>0</v>
      </c>
      <c r="F174" s="495"/>
      <c r="G174" s="495"/>
      <c r="H174" s="493"/>
      <c r="I174" s="461">
        <f>監視サービス登録書!C249</f>
        <v>0</v>
      </c>
      <c r="J174" s="565"/>
      <c r="K174" s="565"/>
      <c r="L174" s="565"/>
      <c r="M174" s="565"/>
      <c r="N174" s="565"/>
      <c r="O174" s="461">
        <f>監視サービス登録書!C250</f>
        <v>0</v>
      </c>
      <c r="P174" s="565"/>
      <c r="Q174" s="565"/>
      <c r="R174" s="565"/>
      <c r="S174" s="565"/>
      <c r="T174" s="568"/>
      <c r="U174" s="572"/>
      <c r="V174" s="573"/>
      <c r="W174" s="574"/>
      <c r="X174" s="130" t="s">
        <v>149</v>
      </c>
      <c r="Y174" s="575"/>
      <c r="Z174" s="576"/>
      <c r="AA174" s="563"/>
      <c r="AB174" s="564"/>
      <c r="AC174" s="564"/>
      <c r="AD174" s="564"/>
      <c r="AE174" s="564"/>
      <c r="AF174" s="564"/>
      <c r="AG174" s="564"/>
      <c r="AH174" s="564"/>
      <c r="AI174" s="564"/>
      <c r="AJ174" s="564"/>
      <c r="AK174" s="461">
        <f>監視サービス登録書!C253</f>
        <v>0</v>
      </c>
      <c r="AL174" s="565"/>
      <c r="AM174" s="565"/>
      <c r="AN174" s="566">
        <f>監視サービス登録書!C$120*監視サービス登録書!D251/1000</f>
        <v>0</v>
      </c>
      <c r="AO174" s="567"/>
      <c r="AP174" s="567"/>
      <c r="AQ174" s="567"/>
      <c r="AR174" s="492" t="b">
        <f t="shared" si="0"/>
        <v>0</v>
      </c>
      <c r="AS174" s="495"/>
      <c r="AT174" s="493"/>
      <c r="AU174" s="492">
        <f>監視サービス登録書!C$133</f>
        <v>0</v>
      </c>
      <c r="AV174" s="495"/>
      <c r="AW174" s="493"/>
    </row>
    <row r="175" spans="1:49" ht="15">
      <c r="A175" s="461">
        <v>25</v>
      </c>
      <c r="B175" s="565"/>
      <c r="C175" s="565"/>
      <c r="D175" s="565"/>
      <c r="E175" s="492">
        <f>監視サービス登録書!C257</f>
        <v>0</v>
      </c>
      <c r="F175" s="495"/>
      <c r="G175" s="495"/>
      <c r="H175" s="493"/>
      <c r="I175" s="461">
        <f>監視サービス登録書!C254</f>
        <v>0</v>
      </c>
      <c r="J175" s="565"/>
      <c r="K175" s="565"/>
      <c r="L175" s="565"/>
      <c r="M175" s="565"/>
      <c r="N175" s="565"/>
      <c r="O175" s="461">
        <f>監視サービス登録書!C255</f>
        <v>0</v>
      </c>
      <c r="P175" s="565"/>
      <c r="Q175" s="565"/>
      <c r="R175" s="565"/>
      <c r="S175" s="565"/>
      <c r="T175" s="568"/>
      <c r="U175" s="572"/>
      <c r="V175" s="573"/>
      <c r="W175" s="574"/>
      <c r="X175" s="130" t="s">
        <v>149</v>
      </c>
      <c r="Y175" s="575"/>
      <c r="Z175" s="576"/>
      <c r="AA175" s="563"/>
      <c r="AB175" s="564"/>
      <c r="AC175" s="564"/>
      <c r="AD175" s="564"/>
      <c r="AE175" s="564"/>
      <c r="AF175" s="564"/>
      <c r="AG175" s="564"/>
      <c r="AH175" s="564"/>
      <c r="AI175" s="564"/>
      <c r="AJ175" s="564"/>
      <c r="AK175" s="461">
        <f>監視サービス登録書!C258</f>
        <v>0</v>
      </c>
      <c r="AL175" s="565"/>
      <c r="AM175" s="565"/>
      <c r="AN175" s="566">
        <f>監視サービス登録書!C$120*監視サービス登録書!D256/1000</f>
        <v>0</v>
      </c>
      <c r="AO175" s="567"/>
      <c r="AP175" s="567"/>
      <c r="AQ175" s="567"/>
      <c r="AR175" s="492" t="b">
        <f t="shared" si="0"/>
        <v>0</v>
      </c>
      <c r="AS175" s="495"/>
      <c r="AT175" s="493"/>
      <c r="AU175" s="492">
        <f>監視サービス登録書!C$133</f>
        <v>0</v>
      </c>
      <c r="AV175" s="495"/>
      <c r="AW175" s="493"/>
    </row>
    <row r="176" spans="1:49" ht="15">
      <c r="A176" s="461">
        <v>26</v>
      </c>
      <c r="B176" s="565"/>
      <c r="C176" s="565"/>
      <c r="D176" s="565"/>
      <c r="E176" s="492">
        <f>監視サービス登録書!C262</f>
        <v>0</v>
      </c>
      <c r="F176" s="495"/>
      <c r="G176" s="495"/>
      <c r="H176" s="493"/>
      <c r="I176" s="461">
        <f>監視サービス登録書!C259</f>
        <v>0</v>
      </c>
      <c r="J176" s="565"/>
      <c r="K176" s="565"/>
      <c r="L176" s="565"/>
      <c r="M176" s="565"/>
      <c r="N176" s="565"/>
      <c r="O176" s="461">
        <f>監視サービス登録書!C260</f>
        <v>0</v>
      </c>
      <c r="P176" s="565"/>
      <c r="Q176" s="565"/>
      <c r="R176" s="565"/>
      <c r="S176" s="565"/>
      <c r="T176" s="568"/>
      <c r="U176" s="572"/>
      <c r="V176" s="573"/>
      <c r="W176" s="574"/>
      <c r="X176" s="130" t="s">
        <v>149</v>
      </c>
      <c r="Y176" s="575"/>
      <c r="Z176" s="576"/>
      <c r="AA176" s="563"/>
      <c r="AB176" s="564"/>
      <c r="AC176" s="564"/>
      <c r="AD176" s="564"/>
      <c r="AE176" s="564"/>
      <c r="AF176" s="564"/>
      <c r="AG176" s="564"/>
      <c r="AH176" s="564"/>
      <c r="AI176" s="564"/>
      <c r="AJ176" s="564"/>
      <c r="AK176" s="461">
        <f>監視サービス登録書!C263</f>
        <v>0</v>
      </c>
      <c r="AL176" s="565"/>
      <c r="AM176" s="565"/>
      <c r="AN176" s="566">
        <f>監視サービス登録書!C$120*監視サービス登録書!D261/1000</f>
        <v>0</v>
      </c>
      <c r="AO176" s="567"/>
      <c r="AP176" s="567"/>
      <c r="AQ176" s="567"/>
      <c r="AR176" s="492" t="b">
        <f t="shared" si="0"/>
        <v>0</v>
      </c>
      <c r="AS176" s="495"/>
      <c r="AT176" s="493"/>
      <c r="AU176" s="492">
        <f>監視サービス登録書!C$133</f>
        <v>0</v>
      </c>
      <c r="AV176" s="495"/>
      <c r="AW176" s="493"/>
    </row>
    <row r="177" spans="1:51" ht="15">
      <c r="A177" s="461">
        <v>27</v>
      </c>
      <c r="B177" s="565"/>
      <c r="C177" s="565"/>
      <c r="D177" s="565"/>
      <c r="E177" s="492">
        <f>監視サービス登録書!C267</f>
        <v>0</v>
      </c>
      <c r="F177" s="495"/>
      <c r="G177" s="495"/>
      <c r="H177" s="493"/>
      <c r="I177" s="461">
        <f>監視サービス登録書!C264</f>
        <v>0</v>
      </c>
      <c r="J177" s="565"/>
      <c r="K177" s="565"/>
      <c r="L177" s="565"/>
      <c r="M177" s="565"/>
      <c r="N177" s="565"/>
      <c r="O177" s="461">
        <f>監視サービス登録書!C265</f>
        <v>0</v>
      </c>
      <c r="P177" s="565"/>
      <c r="Q177" s="565"/>
      <c r="R177" s="565"/>
      <c r="S177" s="565"/>
      <c r="T177" s="568"/>
      <c r="U177" s="572"/>
      <c r="V177" s="573"/>
      <c r="W177" s="574"/>
      <c r="X177" s="130" t="s">
        <v>149</v>
      </c>
      <c r="Y177" s="575"/>
      <c r="Z177" s="576"/>
      <c r="AA177" s="563"/>
      <c r="AB177" s="564"/>
      <c r="AC177" s="564"/>
      <c r="AD177" s="564"/>
      <c r="AE177" s="564"/>
      <c r="AF177" s="564"/>
      <c r="AG177" s="564"/>
      <c r="AH177" s="564"/>
      <c r="AI177" s="564"/>
      <c r="AJ177" s="564"/>
      <c r="AK177" s="461">
        <f>監視サービス登録書!C268</f>
        <v>0</v>
      </c>
      <c r="AL177" s="565"/>
      <c r="AM177" s="565"/>
      <c r="AN177" s="566">
        <f>監視サービス登録書!C$120*監視サービス登録書!D266/1000</f>
        <v>0</v>
      </c>
      <c r="AO177" s="567"/>
      <c r="AP177" s="567"/>
      <c r="AQ177" s="567"/>
      <c r="AR177" s="492" t="b">
        <f t="shared" si="0"/>
        <v>0</v>
      </c>
      <c r="AS177" s="495"/>
      <c r="AT177" s="493"/>
      <c r="AU177" s="492">
        <f>監視サービス登録書!C$133</f>
        <v>0</v>
      </c>
      <c r="AV177" s="495"/>
      <c r="AW177" s="493"/>
    </row>
    <row r="178" spans="1:51" ht="15">
      <c r="A178" s="461">
        <v>28</v>
      </c>
      <c r="B178" s="565"/>
      <c r="C178" s="565"/>
      <c r="D178" s="565"/>
      <c r="E178" s="492">
        <f>監視サービス登録書!C272</f>
        <v>0</v>
      </c>
      <c r="F178" s="495"/>
      <c r="G178" s="495"/>
      <c r="H178" s="493"/>
      <c r="I178" s="461">
        <f>監視サービス登録書!C269</f>
        <v>0</v>
      </c>
      <c r="J178" s="565"/>
      <c r="K178" s="565"/>
      <c r="L178" s="565"/>
      <c r="M178" s="565"/>
      <c r="N178" s="565"/>
      <c r="O178" s="461">
        <f>監視サービス登録書!C270</f>
        <v>0</v>
      </c>
      <c r="P178" s="565"/>
      <c r="Q178" s="565"/>
      <c r="R178" s="565"/>
      <c r="S178" s="565"/>
      <c r="T178" s="568"/>
      <c r="U178" s="572"/>
      <c r="V178" s="573"/>
      <c r="W178" s="574"/>
      <c r="X178" s="130" t="s">
        <v>149</v>
      </c>
      <c r="Y178" s="575"/>
      <c r="Z178" s="576"/>
      <c r="AA178" s="563"/>
      <c r="AB178" s="564"/>
      <c r="AC178" s="564"/>
      <c r="AD178" s="564"/>
      <c r="AE178" s="564"/>
      <c r="AF178" s="564"/>
      <c r="AG178" s="564"/>
      <c r="AH178" s="564"/>
      <c r="AI178" s="564"/>
      <c r="AJ178" s="564"/>
      <c r="AK178" s="461">
        <f>監視サービス登録書!C273</f>
        <v>0</v>
      </c>
      <c r="AL178" s="565"/>
      <c r="AM178" s="565"/>
      <c r="AN178" s="566">
        <f>監視サービス登録書!C$120*監視サービス登録書!D271/1000</f>
        <v>0</v>
      </c>
      <c r="AO178" s="567"/>
      <c r="AP178" s="567"/>
      <c r="AQ178" s="567"/>
      <c r="AR178" s="492" t="b">
        <f t="shared" si="0"/>
        <v>0</v>
      </c>
      <c r="AS178" s="495"/>
      <c r="AT178" s="493"/>
      <c r="AU178" s="492">
        <f>監視サービス登録書!C$133</f>
        <v>0</v>
      </c>
      <c r="AV178" s="495"/>
      <c r="AW178" s="493"/>
    </row>
    <row r="179" spans="1:51" ht="15">
      <c r="A179" s="461">
        <v>29</v>
      </c>
      <c r="B179" s="565"/>
      <c r="C179" s="565"/>
      <c r="D179" s="565"/>
      <c r="E179" s="492">
        <f>監視サービス登録書!C277</f>
        <v>0</v>
      </c>
      <c r="F179" s="495"/>
      <c r="G179" s="495"/>
      <c r="H179" s="493"/>
      <c r="I179" s="461">
        <f>監視サービス登録書!C274</f>
        <v>0</v>
      </c>
      <c r="J179" s="565"/>
      <c r="K179" s="565"/>
      <c r="L179" s="565"/>
      <c r="M179" s="565"/>
      <c r="N179" s="565"/>
      <c r="O179" s="461">
        <f>監視サービス登録書!C275</f>
        <v>0</v>
      </c>
      <c r="P179" s="565"/>
      <c r="Q179" s="565"/>
      <c r="R179" s="565"/>
      <c r="S179" s="565"/>
      <c r="T179" s="568"/>
      <c r="U179" s="572"/>
      <c r="V179" s="573"/>
      <c r="W179" s="574"/>
      <c r="X179" s="130" t="s">
        <v>149</v>
      </c>
      <c r="Y179" s="575"/>
      <c r="Z179" s="576"/>
      <c r="AA179" s="563"/>
      <c r="AB179" s="564"/>
      <c r="AC179" s="564"/>
      <c r="AD179" s="564"/>
      <c r="AE179" s="564"/>
      <c r="AF179" s="564"/>
      <c r="AG179" s="564"/>
      <c r="AH179" s="564"/>
      <c r="AI179" s="564"/>
      <c r="AJ179" s="564"/>
      <c r="AK179" s="461">
        <f>監視サービス登録書!C278</f>
        <v>0</v>
      </c>
      <c r="AL179" s="565"/>
      <c r="AM179" s="565"/>
      <c r="AN179" s="566">
        <f>監視サービス登録書!C$120*監視サービス登録書!D276/1000</f>
        <v>0</v>
      </c>
      <c r="AO179" s="567"/>
      <c r="AP179" s="567"/>
      <c r="AQ179" s="567"/>
      <c r="AR179" s="492" t="b">
        <f t="shared" si="0"/>
        <v>0</v>
      </c>
      <c r="AS179" s="495"/>
      <c r="AT179" s="493"/>
      <c r="AU179" s="492">
        <f>監視サービス登録書!C$133</f>
        <v>0</v>
      </c>
      <c r="AV179" s="495"/>
      <c r="AW179" s="493"/>
    </row>
    <row r="180" spans="1:51" ht="15.5" thickBot="1">
      <c r="A180" s="461">
        <v>30</v>
      </c>
      <c r="B180" s="565"/>
      <c r="C180" s="565"/>
      <c r="D180" s="565"/>
      <c r="E180" s="492">
        <f>監視サービス登録書!C282</f>
        <v>0</v>
      </c>
      <c r="F180" s="495"/>
      <c r="G180" s="495"/>
      <c r="H180" s="493"/>
      <c r="I180" s="461">
        <f>監視サービス登録書!C279</f>
        <v>0</v>
      </c>
      <c r="J180" s="565"/>
      <c r="K180" s="565"/>
      <c r="L180" s="565"/>
      <c r="M180" s="565"/>
      <c r="N180" s="565"/>
      <c r="O180" s="461">
        <f>監視サービス登録書!C280</f>
        <v>0</v>
      </c>
      <c r="P180" s="565"/>
      <c r="Q180" s="565"/>
      <c r="R180" s="565"/>
      <c r="S180" s="565"/>
      <c r="T180" s="568"/>
      <c r="U180" s="569"/>
      <c r="V180" s="570"/>
      <c r="W180" s="571"/>
      <c r="X180" s="131" t="s">
        <v>150</v>
      </c>
      <c r="Y180" s="561"/>
      <c r="Z180" s="562"/>
      <c r="AA180" s="563"/>
      <c r="AB180" s="564"/>
      <c r="AC180" s="564"/>
      <c r="AD180" s="564"/>
      <c r="AE180" s="564"/>
      <c r="AF180" s="564"/>
      <c r="AG180" s="564"/>
      <c r="AH180" s="564"/>
      <c r="AI180" s="564"/>
      <c r="AJ180" s="564"/>
      <c r="AK180" s="461">
        <f>監視サービス登録書!C283</f>
        <v>0</v>
      </c>
      <c r="AL180" s="565"/>
      <c r="AM180" s="565"/>
      <c r="AN180" s="566">
        <f>監視サービス登録書!C$120*監視サービス登録書!D281/1000</f>
        <v>0</v>
      </c>
      <c r="AO180" s="567"/>
      <c r="AP180" s="567"/>
      <c r="AQ180" s="567"/>
      <c r="AR180" s="492" t="b">
        <f t="shared" si="0"/>
        <v>0</v>
      </c>
      <c r="AS180" s="495"/>
      <c r="AT180" s="493"/>
      <c r="AU180" s="492">
        <f>監視サービス登録書!C$133</f>
        <v>0</v>
      </c>
      <c r="AV180" s="495"/>
      <c r="AW180" s="493"/>
    </row>
    <row r="183" spans="1:51" ht="15.5" thickBo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550" t="s">
        <v>151</v>
      </c>
      <c r="AT183" s="551"/>
      <c r="AU183" s="551"/>
      <c r="AV183" s="551"/>
      <c r="AW183" s="551"/>
      <c r="AX183" s="551"/>
      <c r="AY183" s="551"/>
    </row>
    <row r="184" spans="1:51" ht="1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552" t="s">
        <v>152</v>
      </c>
      <c r="AT184" s="553"/>
      <c r="AU184" s="553"/>
      <c r="AV184" s="553"/>
      <c r="AW184" s="553"/>
      <c r="AX184" s="553"/>
      <c r="AY184" s="554"/>
    </row>
    <row r="185" spans="1:51" ht="1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555"/>
      <c r="AT185" s="556"/>
      <c r="AU185" s="556"/>
      <c r="AV185" s="556"/>
      <c r="AW185" s="556"/>
      <c r="AX185" s="556"/>
      <c r="AY185" s="557"/>
    </row>
    <row r="186" spans="1:51" ht="15.5" thickBo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558"/>
      <c r="AT186" s="559"/>
      <c r="AU186" s="559"/>
      <c r="AV186" s="559"/>
      <c r="AW186" s="559"/>
      <c r="AX186" s="559"/>
      <c r="AY186" s="560"/>
    </row>
  </sheetData>
  <sheetProtection password="DFC2" sheet="1" objects="1" scenarios="1"/>
  <mergeCells count="511">
    <mergeCell ref="L11:AL11"/>
    <mergeCell ref="J9:AL9"/>
    <mergeCell ref="R102:AD102"/>
    <mergeCell ref="R103:AD103"/>
    <mergeCell ref="K48:Y50"/>
    <mergeCell ref="K39:Y44"/>
    <mergeCell ref="K31:Y35"/>
    <mergeCell ref="K22:Y27"/>
    <mergeCell ref="K13:Y18"/>
    <mergeCell ref="A106:Q106"/>
    <mergeCell ref="R106:AD106"/>
    <mergeCell ref="B109:M109"/>
    <mergeCell ref="N109:Q109"/>
    <mergeCell ref="R109:AD109"/>
    <mergeCell ref="AE109:AY109"/>
    <mergeCell ref="A110:A115"/>
    <mergeCell ref="B110:F115"/>
    <mergeCell ref="G110:M110"/>
    <mergeCell ref="N110:Q110"/>
    <mergeCell ref="R110:AD110"/>
    <mergeCell ref="AE110:AY110"/>
    <mergeCell ref="G111:M111"/>
    <mergeCell ref="N111:Q111"/>
    <mergeCell ref="R111:AD111"/>
    <mergeCell ref="G114:M114"/>
    <mergeCell ref="N114:Q114"/>
    <mergeCell ref="R114:AD114"/>
    <mergeCell ref="AE114:AY114"/>
    <mergeCell ref="G115:M115"/>
    <mergeCell ref="N115:Q115"/>
    <mergeCell ref="R115:AD115"/>
    <mergeCell ref="AE115:AY115"/>
    <mergeCell ref="AE111:AY111"/>
    <mergeCell ref="G112:M112"/>
    <mergeCell ref="N112:Q112"/>
    <mergeCell ref="R112:AD112"/>
    <mergeCell ref="AE112:AY112"/>
    <mergeCell ref="G113:M113"/>
    <mergeCell ref="N113:Q113"/>
    <mergeCell ref="R113:AD113"/>
    <mergeCell ref="AE113:AY113"/>
    <mergeCell ref="A116:A117"/>
    <mergeCell ref="B116:F117"/>
    <mergeCell ref="G116:M116"/>
    <mergeCell ref="N116:Q116"/>
    <mergeCell ref="R116:AD116"/>
    <mergeCell ref="AE116:AY116"/>
    <mergeCell ref="G117:M117"/>
    <mergeCell ref="N117:Q117"/>
    <mergeCell ref="R117:AD117"/>
    <mergeCell ref="AE117:AY117"/>
    <mergeCell ref="G123:M123"/>
    <mergeCell ref="N123:Q123"/>
    <mergeCell ref="A118:A119"/>
    <mergeCell ref="B118:F119"/>
    <mergeCell ref="G118:M118"/>
    <mergeCell ref="N118:Q118"/>
    <mergeCell ref="R118:AD118"/>
    <mergeCell ref="AE118:AY118"/>
    <mergeCell ref="G119:M119"/>
    <mergeCell ref="N119:Q119"/>
    <mergeCell ref="R119:AD119"/>
    <mergeCell ref="AE119:AY119"/>
    <mergeCell ref="R127:AD127"/>
    <mergeCell ref="AE127:AY127"/>
    <mergeCell ref="A120:A130"/>
    <mergeCell ref="B120:F130"/>
    <mergeCell ref="G120:M120"/>
    <mergeCell ref="N120:Q120"/>
    <mergeCell ref="R120:AD120"/>
    <mergeCell ref="AE120:AY120"/>
    <mergeCell ref="G121:M121"/>
    <mergeCell ref="N121:Q121"/>
    <mergeCell ref="R121:AD121"/>
    <mergeCell ref="AE121:AY121"/>
    <mergeCell ref="G124:M124"/>
    <mergeCell ref="N124:Q124"/>
    <mergeCell ref="R124:AD124"/>
    <mergeCell ref="AE124:AY124"/>
    <mergeCell ref="G125:M125"/>
    <mergeCell ref="N125:Q125"/>
    <mergeCell ref="R125:AD125"/>
    <mergeCell ref="AE125:AY125"/>
    <mergeCell ref="G122:M122"/>
    <mergeCell ref="N122:Q122"/>
    <mergeCell ref="R122:AD122"/>
    <mergeCell ref="AE122:AY122"/>
    <mergeCell ref="G130:M130"/>
    <mergeCell ref="N130:Q130"/>
    <mergeCell ref="R130:AD130"/>
    <mergeCell ref="AE130:AY130"/>
    <mergeCell ref="G131:M131"/>
    <mergeCell ref="N131:Q131"/>
    <mergeCell ref="R131:AD131"/>
    <mergeCell ref="AE131:AY131"/>
    <mergeCell ref="R123:AD123"/>
    <mergeCell ref="AE123:AY123"/>
    <mergeCell ref="G128:M128"/>
    <mergeCell ref="N128:Q128"/>
    <mergeCell ref="R128:AD128"/>
    <mergeCell ref="AE128:AY128"/>
    <mergeCell ref="G129:M129"/>
    <mergeCell ref="N129:Q129"/>
    <mergeCell ref="R129:AD129"/>
    <mergeCell ref="AE129:AY129"/>
    <mergeCell ref="G126:M126"/>
    <mergeCell ref="N126:Q126"/>
    <mergeCell ref="R126:AD126"/>
    <mergeCell ref="AE126:AY126"/>
    <mergeCell ref="G127:M127"/>
    <mergeCell ref="N127:Q127"/>
    <mergeCell ref="G134:M134"/>
    <mergeCell ref="N134:Q134"/>
    <mergeCell ref="R134:AD134"/>
    <mergeCell ref="AE134:AY134"/>
    <mergeCell ref="A135:A138"/>
    <mergeCell ref="B135:F138"/>
    <mergeCell ref="G135:M135"/>
    <mergeCell ref="N135:Q135"/>
    <mergeCell ref="R135:AD135"/>
    <mergeCell ref="AE135:AY135"/>
    <mergeCell ref="A131:A134"/>
    <mergeCell ref="B131:F134"/>
    <mergeCell ref="G138:M138"/>
    <mergeCell ref="N138:Q138"/>
    <mergeCell ref="R138:AD138"/>
    <mergeCell ref="AE138:AY138"/>
    <mergeCell ref="G132:M132"/>
    <mergeCell ref="N132:Q132"/>
    <mergeCell ref="R132:AD132"/>
    <mergeCell ref="AE132:AY132"/>
    <mergeCell ref="G133:M133"/>
    <mergeCell ref="N133:Q133"/>
    <mergeCell ref="R133:AD133"/>
    <mergeCell ref="AE133:AY133"/>
    <mergeCell ref="A141:Q141"/>
    <mergeCell ref="R141:AD141"/>
    <mergeCell ref="G136:M136"/>
    <mergeCell ref="N136:Q136"/>
    <mergeCell ref="R136:AD136"/>
    <mergeCell ref="AE136:AY136"/>
    <mergeCell ref="G137:M137"/>
    <mergeCell ref="N137:Q137"/>
    <mergeCell ref="R137:AD137"/>
    <mergeCell ref="AE137:AY137"/>
    <mergeCell ref="AE141:AY146"/>
    <mergeCell ref="R146:AD146"/>
    <mergeCell ref="A142:Q142"/>
    <mergeCell ref="R142:AD142"/>
    <mergeCell ref="A143:I146"/>
    <mergeCell ref="J143:Q143"/>
    <mergeCell ref="R143:AD143"/>
    <mergeCell ref="J144:Q144"/>
    <mergeCell ref="R144:AD144"/>
    <mergeCell ref="J145:Q145"/>
    <mergeCell ref="R145:AD145"/>
    <mergeCell ref="J146:Q146"/>
    <mergeCell ref="AK149:AM149"/>
    <mergeCell ref="AN149:AQ149"/>
    <mergeCell ref="AR149:AT149"/>
    <mergeCell ref="AU149:AW149"/>
    <mergeCell ref="A150:D150"/>
    <mergeCell ref="E150:H150"/>
    <mergeCell ref="I150:N150"/>
    <mergeCell ref="O150:T150"/>
    <mergeCell ref="U150:Z150"/>
    <mergeCell ref="AA150:AJ150"/>
    <mergeCell ref="A149:D149"/>
    <mergeCell ref="E149:H149"/>
    <mergeCell ref="I149:N149"/>
    <mergeCell ref="O149:T149"/>
    <mergeCell ref="U149:Z149"/>
    <mergeCell ref="AA149:AJ149"/>
    <mergeCell ref="A152:D152"/>
    <mergeCell ref="E152:H152"/>
    <mergeCell ref="I152:N152"/>
    <mergeCell ref="O152:T152"/>
    <mergeCell ref="U152:W152"/>
    <mergeCell ref="AK150:AM150"/>
    <mergeCell ref="AN150:AQ150"/>
    <mergeCell ref="AR150:AT150"/>
    <mergeCell ref="AU150:AW150"/>
    <mergeCell ref="A151:D151"/>
    <mergeCell ref="E151:H151"/>
    <mergeCell ref="I151:N151"/>
    <mergeCell ref="O151:T151"/>
    <mergeCell ref="U151:W151"/>
    <mergeCell ref="Y151:Z151"/>
    <mergeCell ref="Y152:Z152"/>
    <mergeCell ref="AA152:AJ152"/>
    <mergeCell ref="AK152:AM152"/>
    <mergeCell ref="AN152:AQ152"/>
    <mergeCell ref="AR152:AT152"/>
    <mergeCell ref="AU152:AW152"/>
    <mergeCell ref="AA151:AJ151"/>
    <mergeCell ref="AK151:AM151"/>
    <mergeCell ref="AN151:AQ151"/>
    <mergeCell ref="AR151:AT151"/>
    <mergeCell ref="AU151:AW151"/>
    <mergeCell ref="A154:D154"/>
    <mergeCell ref="E154:H154"/>
    <mergeCell ref="I154:N154"/>
    <mergeCell ref="O154:T154"/>
    <mergeCell ref="U154:W154"/>
    <mergeCell ref="A153:D153"/>
    <mergeCell ref="E153:H153"/>
    <mergeCell ref="I153:N153"/>
    <mergeCell ref="O153:T153"/>
    <mergeCell ref="U153:W153"/>
    <mergeCell ref="Y154:Z154"/>
    <mergeCell ref="AA154:AJ154"/>
    <mergeCell ref="AK154:AM154"/>
    <mergeCell ref="AN154:AQ154"/>
    <mergeCell ref="AR154:AT154"/>
    <mergeCell ref="AU154:AW154"/>
    <mergeCell ref="AA153:AJ153"/>
    <mergeCell ref="AK153:AM153"/>
    <mergeCell ref="AN153:AQ153"/>
    <mergeCell ref="AR153:AT153"/>
    <mergeCell ref="AU153:AW153"/>
    <mergeCell ref="Y153:Z153"/>
    <mergeCell ref="A156:D156"/>
    <mergeCell ref="E156:H156"/>
    <mergeCell ref="I156:N156"/>
    <mergeCell ref="O156:T156"/>
    <mergeCell ref="U156:W156"/>
    <mergeCell ref="A155:D155"/>
    <mergeCell ref="E155:H155"/>
    <mergeCell ref="I155:N155"/>
    <mergeCell ref="O155:T155"/>
    <mergeCell ref="U155:W155"/>
    <mergeCell ref="Y156:Z156"/>
    <mergeCell ref="AA156:AJ156"/>
    <mergeCell ref="AK156:AM156"/>
    <mergeCell ref="AN156:AQ156"/>
    <mergeCell ref="AR156:AT156"/>
    <mergeCell ref="AU156:AW156"/>
    <mergeCell ref="AA155:AJ155"/>
    <mergeCell ref="AK155:AM155"/>
    <mergeCell ref="AN155:AQ155"/>
    <mergeCell ref="AR155:AT155"/>
    <mergeCell ref="AU155:AW155"/>
    <mergeCell ref="Y155:Z155"/>
    <mergeCell ref="A158:D158"/>
    <mergeCell ref="E158:H158"/>
    <mergeCell ref="I158:N158"/>
    <mergeCell ref="O158:T158"/>
    <mergeCell ref="U158:W158"/>
    <mergeCell ref="A157:D157"/>
    <mergeCell ref="E157:H157"/>
    <mergeCell ref="I157:N157"/>
    <mergeCell ref="O157:T157"/>
    <mergeCell ref="U157:W157"/>
    <mergeCell ref="Y158:Z158"/>
    <mergeCell ref="AA158:AJ158"/>
    <mergeCell ref="AK158:AM158"/>
    <mergeCell ref="AN158:AQ158"/>
    <mergeCell ref="AR158:AT158"/>
    <mergeCell ref="AU158:AW158"/>
    <mergeCell ref="AA157:AJ157"/>
    <mergeCell ref="AK157:AM157"/>
    <mergeCell ref="AN157:AQ157"/>
    <mergeCell ref="AR157:AT157"/>
    <mergeCell ref="AU157:AW157"/>
    <mergeCell ref="Y157:Z157"/>
    <mergeCell ref="A160:D160"/>
    <mergeCell ref="E160:H160"/>
    <mergeCell ref="I160:N160"/>
    <mergeCell ref="O160:T160"/>
    <mergeCell ref="U160:W160"/>
    <mergeCell ref="A159:D159"/>
    <mergeCell ref="E159:H159"/>
    <mergeCell ref="I159:N159"/>
    <mergeCell ref="O159:T159"/>
    <mergeCell ref="U159:W159"/>
    <mergeCell ref="Y160:Z160"/>
    <mergeCell ref="AA160:AJ160"/>
    <mergeCell ref="AK160:AM160"/>
    <mergeCell ref="AN160:AQ160"/>
    <mergeCell ref="AR160:AT160"/>
    <mergeCell ref="AU160:AW160"/>
    <mergeCell ref="AA159:AJ159"/>
    <mergeCell ref="AK159:AM159"/>
    <mergeCell ref="AN159:AQ159"/>
    <mergeCell ref="AR159:AT159"/>
    <mergeCell ref="AU159:AW159"/>
    <mergeCell ref="Y159:Z159"/>
    <mergeCell ref="A162:D162"/>
    <mergeCell ref="E162:H162"/>
    <mergeCell ref="I162:N162"/>
    <mergeCell ref="O162:T162"/>
    <mergeCell ref="U162:W162"/>
    <mergeCell ref="A161:D161"/>
    <mergeCell ref="E161:H161"/>
    <mergeCell ref="I161:N161"/>
    <mergeCell ref="O161:T161"/>
    <mergeCell ref="U161:W161"/>
    <mergeCell ref="Y162:Z162"/>
    <mergeCell ref="AA162:AJ162"/>
    <mergeCell ref="AK162:AM162"/>
    <mergeCell ref="AN162:AQ162"/>
    <mergeCell ref="AR162:AT162"/>
    <mergeCell ref="AU162:AW162"/>
    <mergeCell ref="AA161:AJ161"/>
    <mergeCell ref="AK161:AM161"/>
    <mergeCell ref="AN161:AQ161"/>
    <mergeCell ref="AR161:AT161"/>
    <mergeCell ref="AU161:AW161"/>
    <mergeCell ref="Y161:Z161"/>
    <mergeCell ref="A164:D164"/>
    <mergeCell ref="E164:H164"/>
    <mergeCell ref="I164:N164"/>
    <mergeCell ref="O164:T164"/>
    <mergeCell ref="U164:W164"/>
    <mergeCell ref="A163:D163"/>
    <mergeCell ref="E163:H163"/>
    <mergeCell ref="I163:N163"/>
    <mergeCell ref="O163:T163"/>
    <mergeCell ref="U163:W163"/>
    <mergeCell ref="Y164:Z164"/>
    <mergeCell ref="AA164:AJ164"/>
    <mergeCell ref="AK164:AM164"/>
    <mergeCell ref="AN164:AQ164"/>
    <mergeCell ref="AR164:AT164"/>
    <mergeCell ref="AU164:AW164"/>
    <mergeCell ref="AA163:AJ163"/>
    <mergeCell ref="AK163:AM163"/>
    <mergeCell ref="AN163:AQ163"/>
    <mergeCell ref="AR163:AT163"/>
    <mergeCell ref="AU163:AW163"/>
    <mergeCell ref="Y163:Z163"/>
    <mergeCell ref="A166:D166"/>
    <mergeCell ref="E166:H166"/>
    <mergeCell ref="I166:N166"/>
    <mergeCell ref="O166:T166"/>
    <mergeCell ref="U166:W166"/>
    <mergeCell ref="A165:D165"/>
    <mergeCell ref="E165:H165"/>
    <mergeCell ref="I165:N165"/>
    <mergeCell ref="O165:T165"/>
    <mergeCell ref="U165:W165"/>
    <mergeCell ref="Y166:Z166"/>
    <mergeCell ref="AA166:AJ166"/>
    <mergeCell ref="AK166:AM166"/>
    <mergeCell ref="AN166:AQ166"/>
    <mergeCell ref="AR166:AT166"/>
    <mergeCell ref="AU166:AW166"/>
    <mergeCell ref="AA165:AJ165"/>
    <mergeCell ref="AK165:AM165"/>
    <mergeCell ref="AN165:AQ165"/>
    <mergeCell ref="AR165:AT165"/>
    <mergeCell ref="AU165:AW165"/>
    <mergeCell ref="Y165:Z165"/>
    <mergeCell ref="A168:D168"/>
    <mergeCell ref="E168:H168"/>
    <mergeCell ref="I168:N168"/>
    <mergeCell ref="O168:T168"/>
    <mergeCell ref="U168:W168"/>
    <mergeCell ref="A167:D167"/>
    <mergeCell ref="E167:H167"/>
    <mergeCell ref="I167:N167"/>
    <mergeCell ref="O167:T167"/>
    <mergeCell ref="U167:W167"/>
    <mergeCell ref="Y168:Z168"/>
    <mergeCell ref="AA168:AJ168"/>
    <mergeCell ref="AK168:AM168"/>
    <mergeCell ref="AN168:AQ168"/>
    <mergeCell ref="AR168:AT168"/>
    <mergeCell ref="AU168:AW168"/>
    <mergeCell ref="AA167:AJ167"/>
    <mergeCell ref="AK167:AM167"/>
    <mergeCell ref="AN167:AQ167"/>
    <mergeCell ref="AR167:AT167"/>
    <mergeCell ref="AU167:AW167"/>
    <mergeCell ref="Y167:Z167"/>
    <mergeCell ref="A170:D170"/>
    <mergeCell ref="E170:H170"/>
    <mergeCell ref="I170:N170"/>
    <mergeCell ref="O170:T170"/>
    <mergeCell ref="U170:W170"/>
    <mergeCell ref="A169:D169"/>
    <mergeCell ref="E169:H169"/>
    <mergeCell ref="I169:N169"/>
    <mergeCell ref="O169:T169"/>
    <mergeCell ref="U169:W169"/>
    <mergeCell ref="Y170:Z170"/>
    <mergeCell ref="AA170:AJ170"/>
    <mergeCell ref="AK170:AM170"/>
    <mergeCell ref="AN170:AQ170"/>
    <mergeCell ref="AR170:AT170"/>
    <mergeCell ref="AU170:AW170"/>
    <mergeCell ref="AA169:AJ169"/>
    <mergeCell ref="AK169:AM169"/>
    <mergeCell ref="AN169:AQ169"/>
    <mergeCell ref="AR169:AT169"/>
    <mergeCell ref="AU169:AW169"/>
    <mergeCell ref="Y169:Z169"/>
    <mergeCell ref="A172:D172"/>
    <mergeCell ref="E172:H172"/>
    <mergeCell ref="I172:N172"/>
    <mergeCell ref="O172:T172"/>
    <mergeCell ref="U172:W172"/>
    <mergeCell ref="A171:D171"/>
    <mergeCell ref="E171:H171"/>
    <mergeCell ref="I171:N171"/>
    <mergeCell ref="O171:T171"/>
    <mergeCell ref="U171:W171"/>
    <mergeCell ref="Y172:Z172"/>
    <mergeCell ref="AA172:AJ172"/>
    <mergeCell ref="AK172:AM172"/>
    <mergeCell ref="AN172:AQ172"/>
    <mergeCell ref="AR172:AT172"/>
    <mergeCell ref="AU172:AW172"/>
    <mergeCell ref="AA171:AJ171"/>
    <mergeCell ref="AK171:AM171"/>
    <mergeCell ref="AN171:AQ171"/>
    <mergeCell ref="AR171:AT171"/>
    <mergeCell ref="AU171:AW171"/>
    <mergeCell ref="Y171:Z171"/>
    <mergeCell ref="A174:D174"/>
    <mergeCell ref="E174:H174"/>
    <mergeCell ref="I174:N174"/>
    <mergeCell ref="O174:T174"/>
    <mergeCell ref="U174:W174"/>
    <mergeCell ref="A173:D173"/>
    <mergeCell ref="E173:H173"/>
    <mergeCell ref="I173:N173"/>
    <mergeCell ref="O173:T173"/>
    <mergeCell ref="U173:W173"/>
    <mergeCell ref="Y174:Z174"/>
    <mergeCell ref="AA174:AJ174"/>
    <mergeCell ref="AK174:AM174"/>
    <mergeCell ref="AN174:AQ174"/>
    <mergeCell ref="AR174:AT174"/>
    <mergeCell ref="AU174:AW174"/>
    <mergeCell ref="AA173:AJ173"/>
    <mergeCell ref="AK173:AM173"/>
    <mergeCell ref="AN173:AQ173"/>
    <mergeCell ref="AR173:AT173"/>
    <mergeCell ref="AU173:AW173"/>
    <mergeCell ref="Y173:Z173"/>
    <mergeCell ref="A176:D176"/>
    <mergeCell ref="E176:H176"/>
    <mergeCell ref="I176:N176"/>
    <mergeCell ref="O176:T176"/>
    <mergeCell ref="U176:W176"/>
    <mergeCell ref="A175:D175"/>
    <mergeCell ref="E175:H175"/>
    <mergeCell ref="I175:N175"/>
    <mergeCell ref="O175:T175"/>
    <mergeCell ref="U175:W175"/>
    <mergeCell ref="Y176:Z176"/>
    <mergeCell ref="AA176:AJ176"/>
    <mergeCell ref="AK176:AM176"/>
    <mergeCell ref="AN176:AQ176"/>
    <mergeCell ref="AR176:AT176"/>
    <mergeCell ref="AU176:AW176"/>
    <mergeCell ref="AA175:AJ175"/>
    <mergeCell ref="AK175:AM175"/>
    <mergeCell ref="AN175:AQ175"/>
    <mergeCell ref="AR175:AT175"/>
    <mergeCell ref="AU175:AW175"/>
    <mergeCell ref="Y175:Z175"/>
    <mergeCell ref="A178:D178"/>
    <mergeCell ref="E178:H178"/>
    <mergeCell ref="I178:N178"/>
    <mergeCell ref="O178:T178"/>
    <mergeCell ref="U178:W178"/>
    <mergeCell ref="A177:D177"/>
    <mergeCell ref="E177:H177"/>
    <mergeCell ref="I177:N177"/>
    <mergeCell ref="O177:T177"/>
    <mergeCell ref="U177:W177"/>
    <mergeCell ref="U179:W179"/>
    <mergeCell ref="Y179:Z179"/>
    <mergeCell ref="Y178:Z178"/>
    <mergeCell ref="AA178:AJ178"/>
    <mergeCell ref="AK178:AM178"/>
    <mergeCell ref="AN178:AQ178"/>
    <mergeCell ref="AR178:AT178"/>
    <mergeCell ref="AU178:AW178"/>
    <mergeCell ref="AA177:AJ177"/>
    <mergeCell ref="AK177:AM177"/>
    <mergeCell ref="AN177:AQ177"/>
    <mergeCell ref="AR177:AT177"/>
    <mergeCell ref="AU177:AW177"/>
    <mergeCell ref="Y177:Z177"/>
    <mergeCell ref="AS183:AY183"/>
    <mergeCell ref="AS184:AY184"/>
    <mergeCell ref="AS185:AY186"/>
    <mergeCell ref="C59:AV92"/>
    <mergeCell ref="Y180:Z180"/>
    <mergeCell ref="AA180:AJ180"/>
    <mergeCell ref="AK180:AM180"/>
    <mergeCell ref="AN180:AQ180"/>
    <mergeCell ref="AR180:AT180"/>
    <mergeCell ref="AU180:AW180"/>
    <mergeCell ref="AA179:AJ179"/>
    <mergeCell ref="AK179:AM179"/>
    <mergeCell ref="AN179:AQ179"/>
    <mergeCell ref="AR179:AT179"/>
    <mergeCell ref="AU179:AW179"/>
    <mergeCell ref="A180:D180"/>
    <mergeCell ref="E180:H180"/>
    <mergeCell ref="I180:N180"/>
    <mergeCell ref="O180:T180"/>
    <mergeCell ref="U180:W180"/>
    <mergeCell ref="A179:D179"/>
    <mergeCell ref="E179:H179"/>
    <mergeCell ref="I179:N179"/>
    <mergeCell ref="O179:T179"/>
  </mergeCells>
  <phoneticPr fontId="4"/>
  <pageMargins left="0.39" right="0.27559055118110237" top="0.51" bottom="0.43307086614173229" header="0.23622047244094491" footer="0.27559055118110237"/>
  <pageSetup paperSize="9" scale="71" orientation="landscape" r:id="rId1"/>
  <headerFooter>
    <oddFooter>&amp;P / &amp;N ページ</oddFooter>
  </headerFooter>
  <rowBreaks count="5" manualBreakCount="5">
    <brk id="57" max="50" man="1"/>
    <brk id="93" max="50" man="1"/>
    <brk id="57" max="50" man="1"/>
    <brk id="93" max="50" man="1"/>
    <brk id="138" max="50"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18</xdr:col>
                    <xdr:colOff>69850</xdr:colOff>
                    <xdr:row>105</xdr:row>
                    <xdr:rowOff>171450</xdr:rowOff>
                  </from>
                  <to>
                    <xdr:col>27</xdr:col>
                    <xdr:colOff>107950</xdr:colOff>
                    <xdr:row>105</xdr:row>
                    <xdr:rowOff>393700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20</xdr:col>
                    <xdr:colOff>76200</xdr:colOff>
                    <xdr:row>115</xdr:row>
                    <xdr:rowOff>31750</xdr:rowOff>
                  </from>
                  <to>
                    <xdr:col>23</xdr:col>
                    <xdr:colOff>50800</xdr:colOff>
                    <xdr:row>115</xdr:row>
                    <xdr:rowOff>203200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25</xdr:col>
                    <xdr:colOff>95250</xdr:colOff>
                    <xdr:row>115</xdr:row>
                    <xdr:rowOff>31750</xdr:rowOff>
                  </from>
                  <to>
                    <xdr:col>27</xdr:col>
                    <xdr:colOff>228600</xdr:colOff>
                    <xdr:row>115</xdr:row>
                    <xdr:rowOff>203200</xdr:rowOff>
                  </to>
                </anchor>
              </controlPr>
            </control>
          </mc:Choice>
        </mc:AlternateContent>
        <mc:AlternateContent xmlns:mc="http://schemas.openxmlformats.org/markup-compatibility/2006">
          <mc:Choice Requires="x14">
            <control shapeId="4104" r:id="rId7" name="Check Box 8">
              <controlPr defaultSize="0" autoFill="0" autoLine="0" autoPict="0">
                <anchor moveWithCells="1">
                  <from>
                    <xdr:col>17</xdr:col>
                    <xdr:colOff>203200</xdr:colOff>
                    <xdr:row>129</xdr:row>
                    <xdr:rowOff>190500</xdr:rowOff>
                  </from>
                  <to>
                    <xdr:col>23</xdr:col>
                    <xdr:colOff>127000</xdr:colOff>
                    <xdr:row>131</xdr:row>
                    <xdr:rowOff>12700</xdr:rowOff>
                  </to>
                </anchor>
              </controlPr>
            </control>
          </mc:Choice>
        </mc:AlternateContent>
        <mc:AlternateContent xmlns:mc="http://schemas.openxmlformats.org/markup-compatibility/2006">
          <mc:Choice Requires="x14">
            <control shapeId="4105" r:id="rId8" name="Check Box 9">
              <controlPr defaultSize="0" autoFill="0" autoLine="0" autoPict="0">
                <anchor moveWithCells="1">
                  <from>
                    <xdr:col>24</xdr:col>
                    <xdr:colOff>107950</xdr:colOff>
                    <xdr:row>129</xdr:row>
                    <xdr:rowOff>203200</xdr:rowOff>
                  </from>
                  <to>
                    <xdr:col>29</xdr:col>
                    <xdr:colOff>165100</xdr:colOff>
                    <xdr:row>131</xdr:row>
                    <xdr:rowOff>0</xdr:rowOff>
                  </to>
                </anchor>
              </controlPr>
            </control>
          </mc:Choice>
        </mc:AlternateContent>
        <mc:AlternateContent xmlns:mc="http://schemas.openxmlformats.org/markup-compatibility/2006">
          <mc:Choice Requires="x14">
            <control shapeId="4106" r:id="rId9" name="Check Box 10">
              <controlPr defaultSize="0" autoFill="0" autoLine="0" autoPict="0">
                <anchor moveWithCells="1">
                  <from>
                    <xdr:col>19</xdr:col>
                    <xdr:colOff>171450</xdr:colOff>
                    <xdr:row>134</xdr:row>
                    <xdr:rowOff>31750</xdr:rowOff>
                  </from>
                  <to>
                    <xdr:col>22</xdr:col>
                    <xdr:colOff>146050</xdr:colOff>
                    <xdr:row>134</xdr:row>
                    <xdr:rowOff>184150</xdr:rowOff>
                  </to>
                </anchor>
              </controlPr>
            </control>
          </mc:Choice>
        </mc:AlternateContent>
        <mc:AlternateContent xmlns:mc="http://schemas.openxmlformats.org/markup-compatibility/2006">
          <mc:Choice Requires="x14">
            <control shapeId="4107" r:id="rId10" name="Check Box 11">
              <controlPr defaultSize="0" autoFill="0" autoLine="0" autoPict="0">
                <anchor moveWithCells="1">
                  <from>
                    <xdr:col>24</xdr:col>
                    <xdr:colOff>107950</xdr:colOff>
                    <xdr:row>134</xdr:row>
                    <xdr:rowOff>0</xdr:rowOff>
                  </from>
                  <to>
                    <xdr:col>27</xdr:col>
                    <xdr:colOff>152400</xdr:colOff>
                    <xdr:row>135</xdr:row>
                    <xdr:rowOff>12700</xdr:rowOff>
                  </to>
                </anchor>
              </controlPr>
            </control>
          </mc:Choice>
        </mc:AlternateContent>
        <mc:AlternateContent xmlns:mc="http://schemas.openxmlformats.org/markup-compatibility/2006">
          <mc:Choice Requires="x14">
            <control shapeId="4108" r:id="rId11" name="Check Box 12">
              <controlPr defaultSize="0" autoFill="0" autoLine="0" autoPict="0">
                <anchor moveWithCells="1">
                  <from>
                    <xdr:col>17</xdr:col>
                    <xdr:colOff>203200</xdr:colOff>
                    <xdr:row>130</xdr:row>
                    <xdr:rowOff>203200</xdr:rowOff>
                  </from>
                  <to>
                    <xdr:col>23</xdr:col>
                    <xdr:colOff>127000</xdr:colOff>
                    <xdr:row>131</xdr:row>
                    <xdr:rowOff>190500</xdr:rowOff>
                  </to>
                </anchor>
              </controlPr>
            </control>
          </mc:Choice>
        </mc:AlternateContent>
        <mc:AlternateContent xmlns:mc="http://schemas.openxmlformats.org/markup-compatibility/2006">
          <mc:Choice Requires="x14">
            <control shapeId="4109" r:id="rId12" name="Check Box 13">
              <controlPr defaultSize="0" autoFill="0" autoLine="0" autoPict="0">
                <anchor moveWithCells="1">
                  <from>
                    <xdr:col>24</xdr:col>
                    <xdr:colOff>107950</xdr:colOff>
                    <xdr:row>130</xdr:row>
                    <xdr:rowOff>203200</xdr:rowOff>
                  </from>
                  <to>
                    <xdr:col>29</xdr:col>
                    <xdr:colOff>165100</xdr:colOff>
                    <xdr:row>131</xdr:row>
                    <xdr:rowOff>190500</xdr:rowOff>
                  </to>
                </anchor>
              </controlPr>
            </control>
          </mc:Choice>
        </mc:AlternateContent>
        <mc:AlternateContent xmlns:mc="http://schemas.openxmlformats.org/markup-compatibility/2006">
          <mc:Choice Requires="x14">
            <control shapeId="4110" r:id="rId13" name="Check Box 14">
              <controlPr defaultSize="0" autoFill="0" autoLine="0" autoPict="0">
                <anchor moveWithCells="1">
                  <from>
                    <xdr:col>17</xdr:col>
                    <xdr:colOff>203200</xdr:colOff>
                    <xdr:row>131</xdr:row>
                    <xdr:rowOff>190500</xdr:rowOff>
                  </from>
                  <to>
                    <xdr:col>23</xdr:col>
                    <xdr:colOff>127000</xdr:colOff>
                    <xdr:row>132</xdr:row>
                    <xdr:rowOff>190500</xdr:rowOff>
                  </to>
                </anchor>
              </controlPr>
            </control>
          </mc:Choice>
        </mc:AlternateContent>
        <mc:AlternateContent xmlns:mc="http://schemas.openxmlformats.org/markup-compatibility/2006">
          <mc:Choice Requires="x14">
            <control shapeId="4111" r:id="rId14" name="Check Box 15">
              <controlPr defaultSize="0" autoFill="0" autoLine="0" autoPict="0">
                <anchor moveWithCells="1">
                  <from>
                    <xdr:col>24</xdr:col>
                    <xdr:colOff>107950</xdr:colOff>
                    <xdr:row>131</xdr:row>
                    <xdr:rowOff>190500</xdr:rowOff>
                  </from>
                  <to>
                    <xdr:col>29</xdr:col>
                    <xdr:colOff>165100</xdr:colOff>
                    <xdr:row>132</xdr:row>
                    <xdr:rowOff>190500</xdr:rowOff>
                  </to>
                </anchor>
              </controlPr>
            </control>
          </mc:Choice>
        </mc:AlternateContent>
        <mc:AlternateContent xmlns:mc="http://schemas.openxmlformats.org/markup-compatibility/2006">
          <mc:Choice Requires="x14">
            <control shapeId="4112" r:id="rId15" name="Check Box 16">
              <controlPr defaultSize="0" autoFill="0" autoLine="0" autoPict="0">
                <anchor moveWithCells="1">
                  <from>
                    <xdr:col>24</xdr:col>
                    <xdr:colOff>107950</xdr:colOff>
                    <xdr:row>132</xdr:row>
                    <xdr:rowOff>190500</xdr:rowOff>
                  </from>
                  <to>
                    <xdr:col>29</xdr:col>
                    <xdr:colOff>165100</xdr:colOff>
                    <xdr:row>133</xdr:row>
                    <xdr:rowOff>203200</xdr:rowOff>
                  </to>
                </anchor>
              </controlPr>
            </control>
          </mc:Choice>
        </mc:AlternateContent>
        <mc:AlternateContent xmlns:mc="http://schemas.openxmlformats.org/markup-compatibility/2006">
          <mc:Choice Requires="x14">
            <control shapeId="4113" r:id="rId16" name="Check Box 17">
              <controlPr defaultSize="0" autoFill="0" autoLine="0" autoPict="0">
                <anchor moveWithCells="1">
                  <from>
                    <xdr:col>17</xdr:col>
                    <xdr:colOff>203200</xdr:colOff>
                    <xdr:row>132</xdr:row>
                    <xdr:rowOff>184150</xdr:rowOff>
                  </from>
                  <to>
                    <xdr:col>23</xdr:col>
                    <xdr:colOff>127000</xdr:colOff>
                    <xdr:row>134</xdr:row>
                    <xdr:rowOff>0</xdr:rowOff>
                  </to>
                </anchor>
              </controlPr>
            </control>
          </mc:Choice>
        </mc:AlternateContent>
        <mc:AlternateContent xmlns:mc="http://schemas.openxmlformats.org/markup-compatibility/2006">
          <mc:Choice Requires="x14">
            <control shapeId="4114" r:id="rId17" name="Check Box 18">
              <controlPr defaultSize="0" autoFill="0" autoLine="0" autoPict="0">
                <anchor moveWithCells="1">
                  <from>
                    <xdr:col>24</xdr:col>
                    <xdr:colOff>107950</xdr:colOff>
                    <xdr:row>132</xdr:row>
                    <xdr:rowOff>190500</xdr:rowOff>
                  </from>
                  <to>
                    <xdr:col>29</xdr:col>
                    <xdr:colOff>165100</xdr:colOff>
                    <xdr:row>133</xdr:row>
                    <xdr:rowOff>203200</xdr:rowOff>
                  </to>
                </anchor>
              </controlPr>
            </control>
          </mc:Choice>
        </mc:AlternateContent>
        <mc:AlternateContent xmlns:mc="http://schemas.openxmlformats.org/markup-compatibility/2006">
          <mc:Choice Requires="x14">
            <control shapeId="4115" r:id="rId18" name="Check Box 19">
              <controlPr defaultSize="0" autoFill="0" autoLine="0" autoPict="0">
                <anchor moveWithCells="1">
                  <from>
                    <xdr:col>20</xdr:col>
                    <xdr:colOff>76200</xdr:colOff>
                    <xdr:row>141</xdr:row>
                    <xdr:rowOff>19050</xdr:rowOff>
                  </from>
                  <to>
                    <xdr:col>23</xdr:col>
                    <xdr:colOff>88900</xdr:colOff>
                    <xdr:row>141</xdr:row>
                    <xdr:rowOff>165100</xdr:rowOff>
                  </to>
                </anchor>
              </controlPr>
            </control>
          </mc:Choice>
        </mc:AlternateContent>
        <mc:AlternateContent xmlns:mc="http://schemas.openxmlformats.org/markup-compatibility/2006">
          <mc:Choice Requires="x14">
            <control shapeId="4116" r:id="rId19" name="Check Box 20">
              <controlPr defaultSize="0" autoFill="0" autoLine="0" autoPict="0">
                <anchor moveWithCells="1">
                  <from>
                    <xdr:col>25</xdr:col>
                    <xdr:colOff>95250</xdr:colOff>
                    <xdr:row>141</xdr:row>
                    <xdr:rowOff>19050</xdr:rowOff>
                  </from>
                  <to>
                    <xdr:col>27</xdr:col>
                    <xdr:colOff>107950</xdr:colOff>
                    <xdr:row>141</xdr:row>
                    <xdr:rowOff>165100</xdr:rowOff>
                  </to>
                </anchor>
              </controlPr>
            </control>
          </mc:Choice>
        </mc:AlternateContent>
        <mc:AlternateContent xmlns:mc="http://schemas.openxmlformats.org/markup-compatibility/2006">
          <mc:Choice Requires="x14">
            <control shapeId="4127" r:id="rId20" name="Check Box 31">
              <controlPr defaultSize="0" autoFill="0" autoLine="0" autoPict="0">
                <anchor moveWithCells="1">
                  <from>
                    <xdr:col>17</xdr:col>
                    <xdr:colOff>146050</xdr:colOff>
                    <xdr:row>117</xdr:row>
                    <xdr:rowOff>50800</xdr:rowOff>
                  </from>
                  <to>
                    <xdr:col>19</xdr:col>
                    <xdr:colOff>152400</xdr:colOff>
                    <xdr:row>117</xdr:row>
                    <xdr:rowOff>222250</xdr:rowOff>
                  </to>
                </anchor>
              </controlPr>
            </control>
          </mc:Choice>
        </mc:AlternateContent>
        <mc:AlternateContent xmlns:mc="http://schemas.openxmlformats.org/markup-compatibility/2006">
          <mc:Choice Requires="x14">
            <control shapeId="4128" r:id="rId21" name="Check Box 32">
              <controlPr defaultSize="0" autoFill="0" autoLine="0" autoPict="0">
                <anchor moveWithCells="1">
                  <from>
                    <xdr:col>20</xdr:col>
                    <xdr:colOff>76200</xdr:colOff>
                    <xdr:row>117</xdr:row>
                    <xdr:rowOff>38100</xdr:rowOff>
                  </from>
                  <to>
                    <xdr:col>23</xdr:col>
                    <xdr:colOff>165100</xdr:colOff>
                    <xdr:row>117</xdr:row>
                    <xdr:rowOff>222250</xdr:rowOff>
                  </to>
                </anchor>
              </controlPr>
            </control>
          </mc:Choice>
        </mc:AlternateContent>
        <mc:AlternateContent xmlns:mc="http://schemas.openxmlformats.org/markup-compatibility/2006">
          <mc:Choice Requires="x14">
            <control shapeId="4129" r:id="rId22" name="Check Box 33">
              <controlPr defaultSize="0" autoFill="0" autoLine="0" autoPict="0">
                <anchor moveWithCells="1">
                  <from>
                    <xdr:col>24</xdr:col>
                    <xdr:colOff>107950</xdr:colOff>
                    <xdr:row>117</xdr:row>
                    <xdr:rowOff>38100</xdr:rowOff>
                  </from>
                  <to>
                    <xdr:col>27</xdr:col>
                    <xdr:colOff>184150</xdr:colOff>
                    <xdr:row>117</xdr:row>
                    <xdr:rowOff>222250</xdr:rowOff>
                  </to>
                </anchor>
              </controlPr>
            </control>
          </mc:Choice>
        </mc:AlternateContent>
        <mc:AlternateContent xmlns:mc="http://schemas.openxmlformats.org/markup-compatibility/2006">
          <mc:Choice Requires="x14">
            <control shapeId="4130" r:id="rId23" name="Check Box 34">
              <controlPr defaultSize="0" autoFill="0" autoLine="0" autoPict="0">
                <anchor moveWithCells="1">
                  <from>
                    <xdr:col>20</xdr:col>
                    <xdr:colOff>76200</xdr:colOff>
                    <xdr:row>117</xdr:row>
                    <xdr:rowOff>298450</xdr:rowOff>
                  </from>
                  <to>
                    <xdr:col>23</xdr:col>
                    <xdr:colOff>184150</xdr:colOff>
                    <xdr:row>117</xdr:row>
                    <xdr:rowOff>488950</xdr:rowOff>
                  </to>
                </anchor>
              </controlPr>
            </control>
          </mc:Choice>
        </mc:AlternateContent>
        <mc:AlternateContent xmlns:mc="http://schemas.openxmlformats.org/markup-compatibility/2006">
          <mc:Choice Requires="x14">
            <control shapeId="4131" r:id="rId24" name="Check Box 35">
              <controlPr defaultSize="0" autoFill="0" autoLine="0" autoPict="0">
                <anchor moveWithCells="1">
                  <from>
                    <xdr:col>24</xdr:col>
                    <xdr:colOff>107950</xdr:colOff>
                    <xdr:row>117</xdr:row>
                    <xdr:rowOff>298450</xdr:rowOff>
                  </from>
                  <to>
                    <xdr:col>25</xdr:col>
                    <xdr:colOff>57150</xdr:colOff>
                    <xdr:row>117</xdr:row>
                    <xdr:rowOff>495300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監視サービス登録書</vt:lpstr>
      <vt:lpstr>監視サービス種別</vt:lpstr>
      <vt:lpstr>ﾁｪｯｸｻﾑ</vt:lpstr>
      <vt:lpstr>PCS型名</vt:lpstr>
      <vt:lpstr>監視サービス登録書（記入例）</vt:lpstr>
      <vt:lpstr>データ抽出</vt:lpstr>
      <vt:lpstr>初期点検</vt:lpstr>
      <vt:lpstr>現地初期設定</vt:lpstr>
      <vt:lpstr>遠隔初期設定</vt:lpstr>
      <vt:lpstr>遠隔初期設定!Print_Area</vt:lpstr>
      <vt:lpstr>監視サービス種別!Print_Area</vt:lpstr>
      <vt:lpstr>監視サービス登録書!Print_Area</vt:lpstr>
      <vt:lpstr>'監視サービス登録書（記入例）'!Print_Area</vt:lpstr>
      <vt:lpstr>現地初期設定!Print_Area</vt:lpstr>
      <vt:lpstr>初期点検!Print_Area</vt:lpstr>
      <vt:lpstr>監視サービス登録書!Print_Titles</vt:lpstr>
      <vt:lpstr>'監視サービス登録書（記入例）'!Print_Titles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s_sakamoto</dc:creator>
  <cp:lastModifiedBy>土師 友宏</cp:lastModifiedBy>
  <cp:lastPrinted>2019-03-28T05:04:30Z</cp:lastPrinted>
  <dcterms:created xsi:type="dcterms:W3CDTF">2018-02-27T02:13:00Z</dcterms:created>
  <dcterms:modified xsi:type="dcterms:W3CDTF">2019-07-02T09:58:53Z</dcterms:modified>
</cp:coreProperties>
</file>